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AS-GEN-1\ASGenELS\TAXBEN\BACKUP\Projects\Policy-tables\2020\"/>
    </mc:Choice>
  </mc:AlternateContent>
  <bookViews>
    <workbookView xWindow="-1430" yWindow="130" windowWidth="23270" windowHeight="7690" tabRatio="957"/>
  </bookViews>
  <sheets>
    <sheet name="README" sheetId="1" r:id="rId1"/>
    <sheet name="Unemployment Insurance" sheetId="4" r:id="rId2"/>
    <sheet name="Unemployment Assistance" sheetId="5" r:id="rId3"/>
    <sheet name="Social Assistance" sheetId="6" r:id="rId4"/>
    <sheet name="Housing Benefits" sheetId="7" r:id="rId5"/>
    <sheet name="Family provisions" sheetId="8" r:id="rId6"/>
    <sheet name="Employment-related provisions" sheetId="9" r:id="rId7"/>
    <sheet name="Tax treatment of benefits" sheetId="10" r:id="rId8"/>
    <sheet name="Average wages" sheetId="11" state="hidden" r:id="rId9"/>
    <sheet name="Sheet2" sheetId="12" state="hidden" r:id="rId10"/>
  </sheets>
  <externalReferences>
    <externalReference r:id="rId11"/>
  </externalReferences>
  <definedNames>
    <definedName name="_xlnm._FilterDatabase" localSheetId="6" hidden="1">'Employment-related provisions'!$A$7:$A$67</definedName>
    <definedName name="_xlnm._FilterDatabase" localSheetId="5" hidden="1">'Family provisions'!$B$10:$B$172</definedName>
    <definedName name="_xlnm._FilterDatabase" localSheetId="4" hidden="1">'Housing Benefits'!$A$11:$A$52</definedName>
    <definedName name="_xlnm._FilterDatabase" localSheetId="3" hidden="1">'Social Assistance'!$A$11:$A$52</definedName>
    <definedName name="_xlnm._FilterDatabase" localSheetId="7" hidden="1">'Tax treatment of benefits'!$A$16:$H$58</definedName>
    <definedName name="_xlnm._FilterDatabase" localSheetId="2" hidden="1">'Unemployment Assistance'!$A$11:$A$56</definedName>
    <definedName name="_xlnm._FilterDatabase" localSheetId="1" hidden="1">'Unemployment Insurance'!$A$11:$A$52</definedName>
  </definedNames>
  <calcPr calcId="162913"/>
</workbook>
</file>

<file path=xl/calcChain.xml><?xml version="1.0" encoding="utf-8"?>
<calcChain xmlns="http://schemas.openxmlformats.org/spreadsheetml/2006/main">
  <c r="O58" i="9" l="1"/>
  <c r="L58" i="9"/>
  <c r="F49" i="4" l="1"/>
  <c r="F20" i="4"/>
  <c r="T12" i="6" l="1"/>
  <c r="J135" i="8" l="1"/>
  <c r="T45" i="6" l="1"/>
  <c r="C45" i="6"/>
  <c r="I137" i="8" l="1"/>
  <c r="J136" i="8"/>
  <c r="P64" i="9" l="1"/>
  <c r="O64" i="9"/>
  <c r="L64" i="9"/>
  <c r="J64" i="9"/>
  <c r="D30" i="9"/>
  <c r="L29" i="9"/>
  <c r="G172" i="8"/>
  <c r="J171" i="8"/>
  <c r="J172" i="8" s="1"/>
  <c r="G171" i="8"/>
  <c r="G170" i="8"/>
  <c r="J169" i="8"/>
  <c r="G169" i="8"/>
  <c r="G152" i="8"/>
  <c r="J95" i="8"/>
  <c r="G95" i="8"/>
  <c r="J94" i="8"/>
  <c r="G94" i="8"/>
  <c r="G93" i="8"/>
  <c r="G92" i="8"/>
  <c r="K90" i="8"/>
  <c r="G90" i="8"/>
  <c r="K89" i="8"/>
  <c r="G37" i="8"/>
  <c r="G36" i="8"/>
  <c r="K12" i="8"/>
  <c r="K11" i="8"/>
  <c r="F28" i="5"/>
  <c r="N20" i="9" l="1"/>
  <c r="O43" i="4" l="1"/>
  <c r="B42" i="11" l="1"/>
  <c r="K167" i="8" l="1"/>
  <c r="P50" i="6"/>
  <c r="K50" i="6"/>
  <c r="J168" i="8"/>
  <c r="G167" i="8"/>
  <c r="G168" i="8"/>
  <c r="I50" i="7"/>
  <c r="L50" i="6"/>
  <c r="K168" i="8"/>
  <c r="J167" i="8"/>
  <c r="N50" i="6"/>
  <c r="M50" i="6"/>
  <c r="L50" i="4"/>
  <c r="K50" i="4"/>
  <c r="J50" i="4"/>
  <c r="B4" i="11"/>
  <c r="G13" i="8" l="1"/>
  <c r="G11" i="8"/>
  <c r="L12" i="6"/>
  <c r="K12" i="5"/>
  <c r="J12" i="8"/>
  <c r="Q12" i="6"/>
  <c r="K12" i="6"/>
  <c r="J12" i="5"/>
  <c r="G12" i="8"/>
  <c r="P12" i="6"/>
  <c r="J13" i="8"/>
  <c r="J11" i="8"/>
  <c r="I12" i="7"/>
  <c r="N12" i="6"/>
  <c r="F12" i="5"/>
  <c r="G23" i="8"/>
  <c r="B5" i="11"/>
  <c r="B6" i="11"/>
  <c r="B7" i="11"/>
  <c r="B8" i="11"/>
  <c r="B9" i="11"/>
  <c r="B10" i="11"/>
  <c r="B11" i="11"/>
  <c r="B12" i="11"/>
  <c r="B13" i="11"/>
  <c r="B14" i="11"/>
  <c r="B15" i="11"/>
  <c r="B16" i="11"/>
  <c r="B17" i="11"/>
  <c r="B18" i="11"/>
  <c r="B19" i="11"/>
  <c r="B20" i="11"/>
  <c r="B21" i="11"/>
  <c r="B22" i="11"/>
  <c r="B23" i="11"/>
  <c r="B25" i="11"/>
  <c r="B26" i="11"/>
  <c r="B27" i="11"/>
  <c r="B28" i="11"/>
  <c r="B29" i="11"/>
  <c r="B30" i="11"/>
  <c r="B31" i="11"/>
  <c r="B32" i="11"/>
  <c r="B33" i="11"/>
  <c r="B34" i="11"/>
  <c r="B35" i="11"/>
  <c r="B36" i="11"/>
  <c r="J133" i="8" s="1"/>
  <c r="B37" i="11"/>
  <c r="B38" i="11"/>
  <c r="B40" i="11"/>
  <c r="B41" i="11"/>
  <c r="B24" i="11"/>
  <c r="B43" i="11"/>
  <c r="B44" i="11"/>
  <c r="J103" i="8" l="1"/>
  <c r="K32" i="6"/>
  <c r="G102" i="8"/>
  <c r="L32" i="6"/>
  <c r="G103" i="8"/>
  <c r="I32" i="7"/>
  <c r="N32" i="6"/>
  <c r="M32" i="6"/>
  <c r="G104" i="8"/>
  <c r="G131" i="8"/>
  <c r="G129" i="8"/>
  <c r="G127" i="8"/>
  <c r="K37" i="6"/>
  <c r="N37" i="6"/>
  <c r="G126" i="8"/>
  <c r="M37" i="6"/>
  <c r="J129" i="8"/>
  <c r="J127" i="8"/>
  <c r="J130" i="8"/>
  <c r="J128" i="8"/>
  <c r="J126" i="8"/>
  <c r="G133" i="8"/>
  <c r="G130" i="8"/>
  <c r="G128" i="8"/>
  <c r="G132" i="8"/>
  <c r="L37" i="6"/>
  <c r="P19" i="9"/>
  <c r="P18" i="9"/>
  <c r="L17" i="9"/>
  <c r="G54" i="8"/>
  <c r="G51" i="8"/>
  <c r="N20" i="6"/>
  <c r="K20" i="5"/>
  <c r="M20" i="6"/>
  <c r="L19" i="9"/>
  <c r="G52" i="8"/>
  <c r="G49" i="8"/>
  <c r="L20" i="6"/>
  <c r="J19" i="9"/>
  <c r="G48" i="8"/>
  <c r="K20" i="6"/>
  <c r="O19" i="9"/>
  <c r="O18" i="9"/>
  <c r="G53" i="8"/>
  <c r="G50" i="8"/>
  <c r="I21" i="7"/>
  <c r="J20" i="5"/>
  <c r="L18" i="9"/>
  <c r="J18" i="9"/>
  <c r="G55" i="8"/>
  <c r="J51" i="8"/>
  <c r="P20" i="6"/>
  <c r="G165" i="8"/>
  <c r="G163" i="8"/>
  <c r="I49" i="7"/>
  <c r="K49" i="6"/>
  <c r="K163" i="8"/>
  <c r="K164" i="8" s="1"/>
  <c r="M49" i="6"/>
  <c r="G166" i="8"/>
  <c r="J163" i="8"/>
  <c r="J164" i="8" s="1"/>
  <c r="L49" i="6"/>
  <c r="G164" i="8"/>
  <c r="N49" i="6"/>
  <c r="K31" i="4"/>
  <c r="G100" i="8"/>
  <c r="K31" i="6"/>
  <c r="N31" i="6"/>
  <c r="I31" i="7"/>
  <c r="M31" i="6"/>
  <c r="G99" i="8"/>
  <c r="G98" i="8"/>
  <c r="G101" i="8"/>
  <c r="L31" i="6"/>
  <c r="K68" i="8"/>
  <c r="I24" i="7"/>
  <c r="M23" i="6"/>
  <c r="J25" i="5"/>
  <c r="L23" i="6"/>
  <c r="J24" i="5"/>
  <c r="G68" i="8"/>
  <c r="G69" i="8"/>
  <c r="N23" i="6"/>
  <c r="J23" i="5"/>
  <c r="J68" i="8"/>
  <c r="J69" i="8"/>
  <c r="K23" i="6"/>
  <c r="M23" i="5"/>
  <c r="G47" i="8"/>
  <c r="G43" i="8"/>
  <c r="N19" i="6"/>
  <c r="G45" i="8"/>
  <c r="I20" i="7"/>
  <c r="G44" i="8"/>
  <c r="G46" i="8"/>
  <c r="M19" i="6"/>
  <c r="L19" i="6"/>
  <c r="J19" i="5"/>
  <c r="H20" i="7"/>
  <c r="K19" i="6"/>
  <c r="J77" i="8"/>
  <c r="J75" i="8"/>
  <c r="J76" i="8"/>
  <c r="K25" i="6"/>
  <c r="G77" i="8"/>
  <c r="G75" i="8"/>
  <c r="L25" i="6"/>
  <c r="G78" i="8"/>
  <c r="G76" i="8"/>
  <c r="I25" i="7"/>
  <c r="G32" i="4"/>
  <c r="K32" i="4"/>
  <c r="J32" i="4"/>
  <c r="H32" i="4"/>
  <c r="G146" i="8"/>
  <c r="J146" i="8"/>
  <c r="J43" i="5"/>
  <c r="H43" i="5"/>
  <c r="H44" i="5" s="1"/>
  <c r="H45" i="5" s="1"/>
  <c r="K43" i="5"/>
  <c r="K40" i="4"/>
  <c r="J40" i="4"/>
  <c r="I40" i="7"/>
  <c r="P53" i="9"/>
  <c r="G143" i="8"/>
  <c r="G141" i="8"/>
  <c r="L53" i="9"/>
  <c r="G142" i="8"/>
  <c r="G145" i="8"/>
  <c r="K141" i="8"/>
  <c r="K145" i="8" s="1"/>
  <c r="G144" i="8"/>
  <c r="J141" i="8"/>
  <c r="J145" i="8" s="1"/>
  <c r="K153" i="8"/>
  <c r="J153" i="8"/>
  <c r="G153" i="8"/>
  <c r="P58" i="9"/>
  <c r="L45" i="6"/>
  <c r="L45" i="4"/>
  <c r="P45" i="6"/>
  <c r="K45" i="6"/>
  <c r="K45" i="4"/>
  <c r="N45" i="6"/>
  <c r="J49" i="5"/>
  <c r="G45" i="4"/>
  <c r="I45" i="7"/>
  <c r="M45" i="6"/>
  <c r="N33" i="6"/>
  <c r="M33" i="6"/>
  <c r="L33" i="6"/>
  <c r="K33" i="6"/>
  <c r="O33" i="6" s="1"/>
  <c r="G105" i="8"/>
  <c r="G107" i="8"/>
  <c r="G106" i="8"/>
  <c r="I33" i="7"/>
  <c r="K33" i="4"/>
  <c r="K24" i="4"/>
  <c r="J71" i="8"/>
  <c r="G74" i="8"/>
  <c r="G71" i="8"/>
  <c r="G73" i="8"/>
  <c r="G70" i="8"/>
  <c r="G72" i="8"/>
  <c r="J49" i="4"/>
  <c r="K49" i="4"/>
  <c r="K122" i="8"/>
  <c r="G121" i="8"/>
  <c r="G118" i="8"/>
  <c r="N36" i="6"/>
  <c r="K36" i="4"/>
  <c r="P44" i="9"/>
  <c r="G125" i="8"/>
  <c r="J122" i="8"/>
  <c r="J120" i="8"/>
  <c r="M36" i="6"/>
  <c r="D36" i="4"/>
  <c r="O44" i="9"/>
  <c r="G124" i="8"/>
  <c r="G122" i="8"/>
  <c r="G120" i="8"/>
  <c r="I36" i="7"/>
  <c r="L36" i="6"/>
  <c r="L44" i="9"/>
  <c r="G123" i="8"/>
  <c r="J121" i="8"/>
  <c r="G119" i="8"/>
  <c r="K36" i="6"/>
  <c r="N36" i="4"/>
  <c r="P29" i="6"/>
  <c r="Q29" i="6"/>
  <c r="N27" i="6"/>
  <c r="M27" i="6"/>
  <c r="O28" i="9"/>
  <c r="L28" i="9"/>
  <c r="P27" i="6"/>
  <c r="L27" i="6"/>
  <c r="K27" i="6"/>
  <c r="G87" i="8"/>
  <c r="G86" i="8"/>
  <c r="G85" i="8"/>
  <c r="G88" i="8"/>
  <c r="G84" i="8"/>
  <c r="G83" i="8"/>
  <c r="I27" i="7"/>
  <c r="K27" i="4"/>
  <c r="J52" i="4"/>
  <c r="G52" i="4"/>
  <c r="K48" i="4"/>
  <c r="J48" i="4"/>
  <c r="G162" i="8"/>
  <c r="J160" i="8"/>
  <c r="J161" i="8"/>
  <c r="G160" i="8"/>
  <c r="G161" i="8"/>
  <c r="K160" i="8"/>
  <c r="N43" i="6"/>
  <c r="M43" i="6"/>
  <c r="O56" i="9"/>
  <c r="L43" i="6"/>
  <c r="K43" i="6"/>
  <c r="K43" i="4"/>
  <c r="L56" i="9"/>
  <c r="P43" i="6"/>
  <c r="P26" i="9"/>
  <c r="J26" i="4"/>
  <c r="M26" i="6"/>
  <c r="N26" i="6" s="1"/>
  <c r="F80" i="8"/>
  <c r="G82" i="8"/>
  <c r="L27" i="9"/>
  <c r="G26" i="4"/>
  <c r="L26" i="6"/>
  <c r="G81" i="8"/>
  <c r="L26" i="9"/>
  <c r="K28" i="5"/>
  <c r="K26" i="6"/>
  <c r="J80" i="8"/>
  <c r="J81" i="8" s="1"/>
  <c r="G80" i="8"/>
  <c r="K26" i="4"/>
  <c r="J28" i="5"/>
  <c r="I26" i="7"/>
  <c r="K80" i="8"/>
  <c r="G79" i="8"/>
  <c r="O21" i="9"/>
  <c r="G64" i="8"/>
  <c r="Q22" i="6"/>
  <c r="L22" i="6"/>
  <c r="J22" i="5"/>
  <c r="F22" i="5" s="1"/>
  <c r="L22" i="4"/>
  <c r="L21" i="9"/>
  <c r="G67" i="8"/>
  <c r="G63" i="8"/>
  <c r="P22" i="6"/>
  <c r="K22" i="6"/>
  <c r="K22" i="4"/>
  <c r="G66" i="8"/>
  <c r="G62" i="8"/>
  <c r="I23" i="7"/>
  <c r="N22" i="6"/>
  <c r="D22" i="4"/>
  <c r="P21" i="9"/>
  <c r="G65" i="8"/>
  <c r="G61" i="8"/>
  <c r="M22" i="6"/>
  <c r="K22" i="5"/>
  <c r="L18" i="6"/>
  <c r="K18" i="6"/>
  <c r="N18" i="6"/>
  <c r="M18" i="6"/>
  <c r="G39" i="8"/>
  <c r="J41" i="8"/>
  <c r="J38" i="8"/>
  <c r="G42" i="8"/>
  <c r="G38" i="8"/>
  <c r="I19" i="7"/>
  <c r="K18" i="4"/>
  <c r="D18" i="4"/>
  <c r="P11" i="9"/>
  <c r="O11" i="9"/>
  <c r="L11" i="9"/>
  <c r="L14" i="6"/>
  <c r="N14" i="6"/>
  <c r="K14" i="6"/>
  <c r="P14" i="6"/>
  <c r="M14" i="6"/>
  <c r="J24" i="8"/>
  <c r="G21" i="8"/>
  <c r="G20" i="8"/>
  <c r="G33" i="8"/>
  <c r="J19" i="8"/>
  <c r="G25" i="8"/>
  <c r="J20" i="8"/>
  <c r="G19" i="8"/>
  <c r="G22" i="8"/>
  <c r="J21" i="8"/>
  <c r="K14" i="4"/>
  <c r="J14" i="4"/>
  <c r="H14" i="4"/>
  <c r="L10" i="9"/>
  <c r="G37" i="4"/>
  <c r="K37" i="4"/>
  <c r="J37" i="4"/>
  <c r="H37" i="4"/>
  <c r="K28" i="4"/>
  <c r="I28" i="7"/>
  <c r="G28" i="4"/>
  <c r="D20" i="4"/>
  <c r="L20" i="4"/>
  <c r="J20" i="4"/>
  <c r="G20" i="4"/>
  <c r="K44" i="4"/>
  <c r="J44" i="4"/>
  <c r="G23" i="4"/>
  <c r="K23" i="4"/>
  <c r="J23" i="4"/>
  <c r="K19" i="4"/>
  <c r="J19" i="4"/>
  <c r="L12" i="9"/>
  <c r="P12" i="9"/>
  <c r="O12" i="9"/>
  <c r="J12" i="9"/>
  <c r="M15" i="6"/>
  <c r="K15" i="6"/>
  <c r="N15" i="6"/>
  <c r="L15" i="6"/>
  <c r="J33" i="8"/>
  <c r="G32" i="8"/>
  <c r="J28" i="8"/>
  <c r="G30" i="8"/>
  <c r="G28" i="8"/>
  <c r="G31" i="8"/>
  <c r="G29" i="8"/>
  <c r="G26" i="8"/>
  <c r="J30" i="8"/>
  <c r="J31" i="8" s="1"/>
  <c r="J26" i="8"/>
  <c r="K15" i="4"/>
  <c r="L13" i="9"/>
  <c r="J29" i="8"/>
  <c r="J27" i="8"/>
  <c r="G27" i="8"/>
  <c r="L50" i="9"/>
  <c r="J48" i="9"/>
  <c r="J49" i="9" s="1"/>
  <c r="G138" i="8"/>
  <c r="N39" i="6"/>
  <c r="J50" i="9"/>
  <c r="J51" i="9" s="1"/>
  <c r="G140" i="8"/>
  <c r="I39" i="7"/>
  <c r="M39" i="6"/>
  <c r="P51" i="9"/>
  <c r="L49" i="9"/>
  <c r="G139" i="8"/>
  <c r="L39" i="6"/>
  <c r="K39" i="4"/>
  <c r="L51" i="9"/>
  <c r="P48" i="9"/>
  <c r="F139" i="8"/>
  <c r="K39" i="6"/>
  <c r="J51" i="7"/>
  <c r="I51" i="7"/>
  <c r="O51" i="6"/>
  <c r="G51" i="4"/>
  <c r="O59" i="9"/>
  <c r="P46" i="6"/>
  <c r="K46" i="6"/>
  <c r="P59" i="9"/>
  <c r="N46" i="6"/>
  <c r="L59" i="9"/>
  <c r="M46" i="6"/>
  <c r="L46" i="6"/>
  <c r="G156" i="8"/>
  <c r="G154" i="8"/>
  <c r="G157" i="8"/>
  <c r="J155" i="8"/>
  <c r="G155" i="8"/>
  <c r="K46" i="4"/>
  <c r="J46" i="4"/>
  <c r="J46" i="7"/>
  <c r="P55" i="9"/>
  <c r="M42" i="6"/>
  <c r="N42" i="6"/>
  <c r="O55" i="9"/>
  <c r="L42" i="6"/>
  <c r="L55" i="9"/>
  <c r="K42" i="6"/>
  <c r="G150" i="8"/>
  <c r="G147" i="8"/>
  <c r="I42" i="7"/>
  <c r="J46" i="5"/>
  <c r="K42" i="4"/>
  <c r="H40" i="5"/>
  <c r="K136" i="8"/>
  <c r="G134" i="8"/>
  <c r="G136" i="8"/>
  <c r="G135" i="8"/>
  <c r="J40" i="5"/>
  <c r="G137" i="8"/>
  <c r="K134" i="8"/>
  <c r="K38" i="6"/>
  <c r="K38" i="4"/>
  <c r="L40" i="9"/>
  <c r="M34" i="6"/>
  <c r="J40" i="9"/>
  <c r="L34" i="6"/>
  <c r="N34" i="6"/>
  <c r="K34" i="6"/>
  <c r="P40" i="9"/>
  <c r="G113" i="8"/>
  <c r="G110" i="8"/>
  <c r="G112" i="8"/>
  <c r="G109" i="8"/>
  <c r="G111" i="8"/>
  <c r="F113" i="8"/>
  <c r="J110" i="8"/>
  <c r="I34" i="7"/>
  <c r="J34" i="4"/>
  <c r="K34" i="4"/>
  <c r="I29" i="7"/>
  <c r="K29" i="4"/>
  <c r="J29" i="4"/>
  <c r="H25" i="4"/>
  <c r="G25" i="4"/>
  <c r="K25" i="4"/>
  <c r="J25" i="4"/>
  <c r="L20" i="9"/>
  <c r="O20" i="9"/>
  <c r="M21" i="6"/>
  <c r="P20" i="9"/>
  <c r="N21" i="6"/>
  <c r="L21" i="6"/>
  <c r="K21" i="6"/>
  <c r="G57" i="8"/>
  <c r="G56" i="8"/>
  <c r="G58" i="8"/>
  <c r="G60" i="8"/>
  <c r="G59" i="8"/>
  <c r="K21" i="4"/>
  <c r="J21" i="5"/>
  <c r="J21" i="4"/>
  <c r="K17" i="4"/>
  <c r="G40" i="8"/>
  <c r="G41" i="8"/>
  <c r="G18" i="8"/>
  <c r="J14" i="8"/>
  <c r="L13" i="6"/>
  <c r="G17" i="8"/>
  <c r="G14" i="8"/>
  <c r="K13" i="6"/>
  <c r="K13" i="5"/>
  <c r="L9" i="9"/>
  <c r="G16" i="8"/>
  <c r="N13" i="6"/>
  <c r="L13" i="4"/>
  <c r="G15" i="8"/>
  <c r="M13" i="6"/>
  <c r="C13" i="4"/>
  <c r="K13" i="4"/>
  <c r="G24" i="8"/>
  <c r="P28" i="9"/>
  <c r="G149" i="8"/>
  <c r="G151" i="8"/>
  <c r="J154" i="8"/>
  <c r="J157" i="8"/>
  <c r="N46" i="4"/>
  <c r="J42" i="4"/>
  <c r="G148" i="8"/>
  <c r="J45" i="5" l="1"/>
  <c r="J44" i="5"/>
  <c r="K45" i="5"/>
  <c r="K44" i="5"/>
  <c r="L38" i="6"/>
  <c r="M38" i="6"/>
  <c r="N38" i="6" s="1"/>
  <c r="J111" i="8"/>
  <c r="J112" i="8"/>
</calcChain>
</file>

<file path=xl/comments1.xml><?xml version="1.0" encoding="utf-8"?>
<comments xmlns="http://schemas.openxmlformats.org/spreadsheetml/2006/main">
  <authors>
    <author>MACDONALD Duncan</author>
  </authors>
  <commentList>
    <comment ref="D7" authorId="0" shapeId="0">
      <text>
        <r>
          <rPr>
            <b/>
            <sz val="9"/>
            <color indexed="81"/>
            <rFont val="Tahoma"/>
            <family val="2"/>
          </rPr>
          <t xml:space="preserve">OECD: 
</t>
        </r>
        <r>
          <rPr>
            <sz val="9"/>
            <color indexed="81"/>
            <rFont val="Tahoma"/>
            <family val="2"/>
          </rPr>
          <t>This column lists the minimum requirements in terms of previous employment, contributions, hours of work, and earnings in order to be eligible to any benefit. The amount/duration of this benefit may be lower than the “standard” amount/duration in the country.</t>
        </r>
      </text>
    </comment>
  </commentList>
</comments>
</file>

<file path=xl/sharedStrings.xml><?xml version="1.0" encoding="utf-8"?>
<sst xmlns="http://schemas.openxmlformats.org/spreadsheetml/2006/main" count="4311" uniqueCount="1450">
  <si>
    <t>General notes:</t>
  </si>
  <si>
    <t>1. The following tables give an overview of countries' benefit (and tax systems where applicable) systems. The information is based on the OECD's tax-benefit simulation models (see link below).</t>
  </si>
  <si>
    <t>5. Some benefits or provisions will show in two tables:</t>
  </si>
  <si>
    <t>Example 1:</t>
  </si>
  <si>
    <t>Example 2:</t>
  </si>
  <si>
    <t>Source:</t>
  </si>
  <si>
    <t>http://www.oecd.org/els/soc/benefits-and-wages.htm</t>
  </si>
  <si>
    <t>Unemployment insurance benefits</t>
  </si>
  <si>
    <t>qual table</t>
  </si>
  <si>
    <t>quant  table</t>
  </si>
  <si>
    <t>Source lookup value:</t>
  </si>
  <si>
    <t>PT_UI_name</t>
  </si>
  <si>
    <t>PT_UI_contribution_type</t>
  </si>
  <si>
    <t>PT_UI_empl_contr_condition</t>
  </si>
  <si>
    <t>PT_UI_waiting</t>
  </si>
  <si>
    <t>PT_UI_max_duration</t>
  </si>
  <si>
    <t>PT_UI_perc_rate_initial</t>
  </si>
  <si>
    <t>PT_UI_perc_rate_final</t>
  </si>
  <si>
    <t>PT_UI_reference_earnings</t>
  </si>
  <si>
    <t>PT_UI_benefit_floor_AW</t>
  </si>
  <si>
    <t>PT_UI_benefit_ceiling_AW</t>
  </si>
  <si>
    <t>PT_UI_empl_disreg</t>
  </si>
  <si>
    <t>PT_UI_var_age</t>
  </si>
  <si>
    <t>PT_UI_var_family</t>
  </si>
  <si>
    <t>PT_UI_var_other</t>
  </si>
  <si>
    <t>Programme name, national language</t>
  </si>
  <si>
    <t xml:space="preserve">Insurance is voluntary (V) or automatic / compulsory (C) </t>
  </si>
  <si>
    <t>Waiting period (days)</t>
  </si>
  <si>
    <t>Maximum duration (months)</t>
  </si>
  <si>
    <t>Benefit Calculation</t>
  </si>
  <si>
    <t>Initial benefit, % of reference earnings</t>
  </si>
  <si>
    <t>Final benefit (end of entitlement period), % of reference earnings</t>
  </si>
  <si>
    <r>
      <t>Benefit floor</t>
    </r>
    <r>
      <rPr>
        <vertAlign val="superscript"/>
        <sz val="10"/>
        <rFont val="Arial"/>
        <family val="2"/>
      </rPr>
      <t>(3)</t>
    </r>
  </si>
  <si>
    <r>
      <t>Benefit ceiling</t>
    </r>
    <r>
      <rPr>
        <vertAlign val="superscript"/>
        <sz val="10"/>
        <rFont val="Arial"/>
        <family val="2"/>
      </rPr>
      <t>(3)</t>
    </r>
  </si>
  <si>
    <t>Cumulation of earnings and benefits: permitted employment and mechanisms for reducing entitlements</t>
  </si>
  <si>
    <t>% of AW</t>
  </si>
  <si>
    <t>age</t>
  </si>
  <si>
    <t>family situation</t>
  </si>
  <si>
    <t>other</t>
  </si>
  <si>
    <t>[1]</t>
  </si>
  <si>
    <t>[2]</t>
  </si>
  <si>
    <t>[3]</t>
  </si>
  <si>
    <t>[4]</t>
  </si>
  <si>
    <t>[5]</t>
  </si>
  <si>
    <t>[6]</t>
  </si>
  <si>
    <t>[7]</t>
  </si>
  <si>
    <t>[8]</t>
  </si>
  <si>
    <t>[9]</t>
  </si>
  <si>
    <t>[10]</t>
  </si>
  <si>
    <t>[11]</t>
  </si>
  <si>
    <t>[12]</t>
  </si>
  <si>
    <t>[13]</t>
  </si>
  <si>
    <t>[14]</t>
  </si>
  <si>
    <t>OECD countries</t>
  </si>
  <si>
    <t>Austria</t>
  </si>
  <si>
    <r>
      <t>Belgium</t>
    </r>
    <r>
      <rPr>
        <vertAlign val="superscript"/>
        <sz val="9"/>
        <rFont val="Arial"/>
        <family val="2"/>
      </rPr>
      <t>(4)</t>
    </r>
  </si>
  <si>
    <t>Chile</t>
  </si>
  <si>
    <t>Czech Republic</t>
  </si>
  <si>
    <t>Denmark</t>
  </si>
  <si>
    <t>Estonia</t>
  </si>
  <si>
    <t>Finland</t>
  </si>
  <si>
    <t>France</t>
  </si>
  <si>
    <t>Germany</t>
  </si>
  <si>
    <t>Greece</t>
  </si>
  <si>
    <t>Hungary</t>
  </si>
  <si>
    <t>Iceland</t>
  </si>
  <si>
    <t>Ireland</t>
  </si>
  <si>
    <t>Israel</t>
  </si>
  <si>
    <t>Italy</t>
  </si>
  <si>
    <t>Japan</t>
  </si>
  <si>
    <t>Korea</t>
  </si>
  <si>
    <t>Luxembourg</t>
  </si>
  <si>
    <t>Netherlands</t>
  </si>
  <si>
    <t>Norway</t>
  </si>
  <si>
    <t>Portugal</t>
  </si>
  <si>
    <t>Slovak Republic</t>
  </si>
  <si>
    <t>Slovenia</t>
  </si>
  <si>
    <t>Spain</t>
  </si>
  <si>
    <t>Sweden</t>
  </si>
  <si>
    <t>Switzerland</t>
  </si>
  <si>
    <t>Turkey</t>
  </si>
  <si>
    <t>United Kingdom</t>
  </si>
  <si>
    <t>Additional EU countries</t>
  </si>
  <si>
    <t>Bulgaria</t>
  </si>
  <si>
    <t>Croatia</t>
  </si>
  <si>
    <t>Latvia</t>
  </si>
  <si>
    <t>Lithuania</t>
  </si>
  <si>
    <t>Romania</t>
  </si>
  <si>
    <t>Notes:</t>
  </si>
  <si>
    <t>1. "n.a." equals not applicable, "..." equals no information available.</t>
  </si>
  <si>
    <t>2.  Gross = gross employment income; SSC = (employee) social security contributions; Net = Gross minus income taxes minus SSC.</t>
  </si>
  <si>
    <r>
      <t>Source:</t>
    </r>
    <r>
      <rPr>
        <sz val="9"/>
        <rFont val="Arial"/>
        <family val="2"/>
      </rPr>
      <t xml:space="preserve"> OECD.</t>
    </r>
  </si>
  <si>
    <t>Arbeitslosengeld</t>
  </si>
  <si>
    <t>E + C: 1 out of last 2 years; 28 weeks in case of repeated unemployment</t>
  </si>
  <si>
    <t>Net</t>
  </si>
  <si>
    <t>n.a.</t>
  </si>
  <si>
    <t>Assurance chômage</t>
  </si>
  <si>
    <t>C</t>
  </si>
  <si>
    <t>Unlimited</t>
  </si>
  <si>
    <t>Until month 3 (1st period - phase 1): 65%</t>
  </si>
  <si>
    <t>Gross</t>
  </si>
  <si>
    <t>Special UI regimes for young graduates and older unemployed (allocations d'insertions, stage d'insertions professionelle; Prépension (CCT))</t>
  </si>
  <si>
    <t>Employment Insurance</t>
  </si>
  <si>
    <t>None</t>
  </si>
  <si>
    <t>…</t>
  </si>
  <si>
    <t>E + C: 12 months in 2 years</t>
  </si>
  <si>
    <t>Until month 2: 65%</t>
  </si>
  <si>
    <t>From month 5: 45%</t>
  </si>
  <si>
    <t>V</t>
  </si>
  <si>
    <t>Gross less 8% SSC</t>
  </si>
  <si>
    <t>Töötuskindlustushüvitis</t>
  </si>
  <si>
    <t>Until day 100: 50%</t>
  </si>
  <si>
    <t>From day 101: 40%</t>
  </si>
  <si>
    <t>None permitted</t>
  </si>
  <si>
    <t>57% - 75%</t>
  </si>
  <si>
    <t>E + C: 125 days in last 14 months or 200 days in last two years and for first time unemployed 80 days per year in the last two years</t>
  </si>
  <si>
    <t>Álláskeresési járadék</t>
  </si>
  <si>
    <t>E + C: 360 days in previous 3 years</t>
  </si>
  <si>
    <t>Atvinnuleysisdagpeningar</t>
  </si>
  <si>
    <t>Jobseeker's benefit</t>
  </si>
  <si>
    <t>C: 104 weekly contributions paid since starting work and 39 of those during the year preceding the benefit year, or 26 weekly contributions paid in each of the two relevant tax years preceding the benefit year</t>
  </si>
  <si>
    <t>דמי אבטלה (יומיים)</t>
  </si>
  <si>
    <t>E + C: 12 in 18 preceeding months</t>
  </si>
  <si>
    <t>No</t>
  </si>
  <si>
    <t>E + C: 26 weeks out of last 12 months</t>
  </si>
  <si>
    <t>E + C for short-term benefit: 26 weeks in last 36 weeks
E + C for medium-term benefit: 26 weeks in last 36 weeks and 4 out of 5 last years</t>
  </si>
  <si>
    <t>Until month 2: 75%</t>
  </si>
  <si>
    <t>From month 3: 70%</t>
  </si>
  <si>
    <t>3 days (registered as unemployed out of last 15 work days)</t>
  </si>
  <si>
    <t>E + C: 360 days in last 24 months</t>
  </si>
  <si>
    <t>C: 360 days in 6 preceding years</t>
  </si>
  <si>
    <t>G: + minimum and maximum benefit more generous for families with children</t>
  </si>
  <si>
    <t>Benefit reduced in proportion to days worked</t>
  </si>
  <si>
    <t>E + C: 12 out of last 24 months</t>
  </si>
  <si>
    <t>E + C: 600 days out of last 36 months, continuously in last 120 days</t>
  </si>
  <si>
    <t>Jobseeker's Allowance (contribution based)</t>
  </si>
  <si>
    <t>--</t>
  </si>
  <si>
    <t>E + C: 50 weeks of which 20 in the last two years</t>
  </si>
  <si>
    <t>E + C: 12 in last 24 months</t>
  </si>
  <si>
    <t>Source: OECD.</t>
  </si>
  <si>
    <t>Podpora v nezaměstnanosti</t>
  </si>
  <si>
    <t>C: basic benefit;
V: earnings-related benefit</t>
  </si>
  <si>
    <t>For occasional employment (&lt;3 days at a time) benefit is reduced in proportion to the number of hours worked</t>
  </si>
  <si>
    <t>雇用保険・基本手当</t>
  </si>
  <si>
    <t xml:space="preserve">Subisdio de desemprego </t>
  </si>
  <si>
    <t>Until month 3: 80%</t>
  </si>
  <si>
    <t>From month 4: 60%</t>
  </si>
  <si>
    <t>Until month 6: 70%</t>
  </si>
  <si>
    <t>From month 7: 50%</t>
  </si>
  <si>
    <t>Benefit reduced in proportion to hours worked</t>
  </si>
  <si>
    <t xml:space="preserve">Benefit entitlement equal to relevant percentage of difference between reference earnings and current earnings, thus for an individual without children benefits are reduced by 70% of earnings. </t>
  </si>
  <si>
    <t>İşsizlik Ödeneği</t>
  </si>
  <si>
    <t>E: 20 weeks (plus minimum earnings requirement)</t>
  </si>
  <si>
    <t>Gross "high quarter earnings" (highest quarterly earnings in the last four completed quarters other than the most recent one)</t>
  </si>
  <si>
    <t>Фонд "Бeзработица" - Обезщетение за безработица</t>
  </si>
  <si>
    <t>novčana naknada za vrijeme nezaposlenosti</t>
  </si>
  <si>
    <t>Bezdarbnieka pabalsts</t>
  </si>
  <si>
    <t>Indemnizatia de somaj</t>
  </si>
  <si>
    <r>
      <rPr>
        <i/>
        <sz val="9"/>
        <rFont val="Arial"/>
        <family val="2"/>
      </rPr>
      <t>Allocation d'aide au retour à l'emploi</t>
    </r>
    <r>
      <rPr>
        <sz val="9"/>
        <rFont val="Arial"/>
        <family val="2"/>
      </rPr>
      <t xml:space="preserve"> (ARE)</t>
    </r>
  </si>
  <si>
    <r>
      <rPr>
        <i/>
        <sz val="9"/>
        <rFont val="Arial"/>
        <family val="2"/>
      </rPr>
      <t>Arbeitslosengeld</t>
    </r>
    <r>
      <rPr>
        <sz val="9"/>
        <rFont val="Arial"/>
        <family val="2"/>
      </rPr>
      <t xml:space="preserve"> (ALG I)</t>
    </r>
  </si>
  <si>
    <t>PT_UA_name</t>
  </si>
  <si>
    <t>PT_UA_empl_contr_condition</t>
  </si>
  <si>
    <t>PT_UA_waiting</t>
  </si>
  <si>
    <t>PT_UA_max_duration</t>
  </si>
  <si>
    <t>PT_UA_perc_rate_initial</t>
  </si>
  <si>
    <t>PT_UA_perc_rate_final</t>
  </si>
  <si>
    <t>PT_UA_reference_earnings</t>
  </si>
  <si>
    <t>PT_UA_benefit_floor_AW</t>
  </si>
  <si>
    <t>PT_UA_benefit_ceiling_AW</t>
  </si>
  <si>
    <t>PT_UA_empl_disreg</t>
  </si>
  <si>
    <t>PT_UA_var_age</t>
  </si>
  <si>
    <t>PT_UA_var_family</t>
  </si>
  <si>
    <t>PT_UA_var_other</t>
  </si>
  <si>
    <t>Program name in local language</t>
  </si>
  <si>
    <t>Employment record (E) and contribution (C) conditions and relationship to unemployment insurance benefits (UI)</t>
  </si>
  <si>
    <t xml:space="preserve">Benefit provision (eligibility (E), generosity (G)) varies with </t>
  </si>
  <si>
    <t>initial benefit as % of calculation base</t>
  </si>
  <si>
    <t>benefit at the end of legal entitlement period in % of calculation base</t>
  </si>
  <si>
    <r>
      <t>Australia</t>
    </r>
    <r>
      <rPr>
        <vertAlign val="superscript"/>
        <sz val="9"/>
        <rFont val="Arial"/>
        <family val="2"/>
      </rPr>
      <t>(4)</t>
    </r>
  </si>
  <si>
    <t>No limit</t>
  </si>
  <si>
    <t>Töötutoetus</t>
  </si>
  <si>
    <t>270 days (including time on unemployment insurance benefit)</t>
  </si>
  <si>
    <t>Työmarkkinatuki</t>
  </si>
  <si>
    <t>E: 5 out of 10 years prior to start of current unemployment spell</t>
  </si>
  <si>
    <r>
      <t>Germany</t>
    </r>
    <r>
      <rPr>
        <vertAlign val="superscript"/>
        <sz val="9"/>
        <rFont val="Arial"/>
        <family val="2"/>
      </rPr>
      <t>(5)</t>
    </r>
  </si>
  <si>
    <t>Jobseeker's allowance</t>
  </si>
  <si>
    <t>UI: not qualify for UI or UI claim exhausted</t>
  </si>
  <si>
    <t>New Zealand</t>
  </si>
  <si>
    <t xml:space="preserve">G: + longer benefit duration for those aged 52 or over at the start of the period of unemployment. </t>
  </si>
  <si>
    <t>G: - benefit proportionally lower for formerly part-time employed</t>
  </si>
  <si>
    <t>Unemployment Assistance benefits</t>
  </si>
  <si>
    <r>
      <rPr>
        <i/>
        <sz val="9"/>
        <rFont val="Arial"/>
        <family val="2"/>
      </rPr>
      <t>Allocation de solidarité spécifique</t>
    </r>
    <r>
      <rPr>
        <sz val="9"/>
        <rFont val="Arial"/>
        <family val="2"/>
      </rPr>
      <t xml:space="preserve"> (ASS)</t>
    </r>
  </si>
  <si>
    <t>Malta</t>
  </si>
  <si>
    <t>2. Gross = gross employment income; SSC = (employee) social security contributions; Net = Gross minus income taxes minus SSC.</t>
  </si>
  <si>
    <t>3. All amounts are shown on an annualised basis. "--" indicates that there is no such provision. AW = Average Wage of a full-time private sector employee.</t>
  </si>
  <si>
    <t>1. "n.a.": not applicable, "...": information not available.</t>
  </si>
  <si>
    <t>Social Assistance benefits</t>
  </si>
  <si>
    <t>TB outputs</t>
  </si>
  <si>
    <t>PT_SA_name</t>
  </si>
  <si>
    <t>PT_SA_age</t>
  </si>
  <si>
    <t>PT_SA_cond_job_search</t>
  </si>
  <si>
    <t>PT_SA_cond_register</t>
  </si>
  <si>
    <t>PT_SA_cond_participation</t>
  </si>
  <si>
    <t>PT_SA_cond_work</t>
  </si>
  <si>
    <t>PT_SA_cond_other</t>
  </si>
  <si>
    <t>PT_SA_cond_family</t>
  </si>
  <si>
    <t>PT_SA_level</t>
  </si>
  <si>
    <t>PT_SA_other</t>
  </si>
  <si>
    <t>PT_SA_means_test_earnings</t>
  </si>
  <si>
    <t>PT_SA_means_test_earnings_withdrawal</t>
  </si>
  <si>
    <t>PT_SA_means_test_assets</t>
  </si>
  <si>
    <t>PT_SA_means_test_other_ben</t>
  </si>
  <si>
    <t>PT_SA_var_age</t>
  </si>
  <si>
    <t>PT_SA_var_contract</t>
  </si>
  <si>
    <t>Minimum age condition for social assistance receipt</t>
  </si>
  <si>
    <t>Calculation of social assistance benefit:</t>
  </si>
  <si>
    <t>Means-test for social assistance</t>
  </si>
  <si>
    <r>
      <t>Registration as unemployed</t>
    </r>
    <r>
      <rPr>
        <vertAlign val="superscript"/>
        <sz val="9"/>
        <rFont val="Arial"/>
        <family val="2"/>
      </rPr>
      <t>(2)</t>
    </r>
  </si>
  <si>
    <t>Participation in integration measures</t>
  </si>
  <si>
    <r>
      <t>Active job search</t>
    </r>
    <r>
      <rPr>
        <vertAlign val="superscript"/>
        <sz val="9"/>
        <rFont val="Arial"/>
        <family val="2"/>
      </rPr>
      <t>(2)</t>
    </r>
  </si>
  <si>
    <r>
      <t>Work requirement</t>
    </r>
    <r>
      <rPr>
        <vertAlign val="superscript"/>
        <sz val="9"/>
        <rFont val="Arial"/>
        <family val="2"/>
      </rPr>
      <t>(2)</t>
    </r>
  </si>
  <si>
    <t>Other conditions for receipt of benefit (including requirements for conditional cash transfers (CCT))</t>
  </si>
  <si>
    <t>Legal behavioural requirements for adult family members other than the benefit claimant</t>
  </si>
  <si>
    <t>Single</t>
  </si>
  <si>
    <t>Spouse/ partner</t>
  </si>
  <si>
    <t>Per child</t>
  </si>
  <si>
    <t>Child-related payments to lone parent of (per child)</t>
  </si>
  <si>
    <t>Other supplements to basic benefit (per family)</t>
  </si>
  <si>
    <t>Earnings disregards</t>
  </si>
  <si>
    <t>Benefit withdrawal rate with regard to earned income</t>
  </si>
  <si>
    <t>Assets included in means test?</t>
  </si>
  <si>
    <t>Other benefits included in the means test</t>
  </si>
  <si>
    <t>over time</t>
  </si>
  <si>
    <t>[16]</t>
  </si>
  <si>
    <t>[17]</t>
  </si>
  <si>
    <t>[18]</t>
  </si>
  <si>
    <t>[19]</t>
  </si>
  <si>
    <t>[20]</t>
  </si>
  <si>
    <t>[21]</t>
  </si>
  <si>
    <t>[22]</t>
  </si>
  <si>
    <t>Belgium</t>
  </si>
  <si>
    <t>Czech 
Republic</t>
  </si>
  <si>
    <t xml:space="preserve">France </t>
  </si>
  <si>
    <r>
      <t>New Zealand</t>
    </r>
    <r>
      <rPr>
        <vertAlign val="superscript"/>
        <sz val="9"/>
        <rFont val="Arial"/>
        <family val="2"/>
      </rPr>
      <t>(4)</t>
    </r>
  </si>
  <si>
    <t>Poland</t>
  </si>
  <si>
    <t>Slovak 
Republic</t>
  </si>
  <si>
    <r>
      <rPr>
        <i/>
        <sz val="9"/>
        <rFont val="Arial"/>
        <family val="2"/>
      </rPr>
      <t>Newstart Allowance</t>
    </r>
    <r>
      <rPr>
        <sz val="9"/>
        <rFont val="Arial"/>
        <family val="2"/>
      </rPr>
      <t xml:space="preserve"> (NSA), </t>
    </r>
    <r>
      <rPr>
        <i/>
        <sz val="9"/>
        <rFont val="Arial"/>
        <family val="2"/>
      </rPr>
      <t>Youth Allowance</t>
    </r>
    <r>
      <rPr>
        <sz val="9"/>
        <rFont val="Arial"/>
        <family val="2"/>
      </rPr>
      <t xml:space="preserve"> (YA), </t>
    </r>
    <r>
      <rPr>
        <i/>
        <sz val="9"/>
        <rFont val="Arial"/>
        <family val="2"/>
      </rPr>
      <t>Parenting Payment</t>
    </r>
    <r>
      <rPr>
        <sz val="9"/>
        <rFont val="Arial"/>
        <family val="2"/>
      </rPr>
      <t xml:space="preserve"> (couple) with one member caring for a child under six similar to NSA</t>
    </r>
  </si>
  <si>
    <t>Newstart Allowance (NSA) if 22 or older, Youth Allowance (YA) if under 22</t>
  </si>
  <si>
    <t>Yes</t>
  </si>
  <si>
    <t>National</t>
  </si>
  <si>
    <t>Job search requirement</t>
  </si>
  <si>
    <t>All other benefits</t>
  </si>
  <si>
    <t>At discretion of Public Centre for Social Assistance (PCSA)</t>
  </si>
  <si>
    <t>Ontario Works</t>
  </si>
  <si>
    <t>Unemployment benefit including family supplements</t>
  </si>
  <si>
    <t>If requested have to take up short-term employment, participate in public works or public works service</t>
  </si>
  <si>
    <t>Work availablility and job search requirements apply to all members of the household</t>
  </si>
  <si>
    <t xml:space="preserve">Family benefits and 80% of unemployment benefits </t>
  </si>
  <si>
    <t>Kontanthjælp</t>
  </si>
  <si>
    <t>Unemployment benefits</t>
  </si>
  <si>
    <t>Discretionary</t>
  </si>
  <si>
    <t>Toimeentulotuki</t>
  </si>
  <si>
    <t>Christmas bonus</t>
  </si>
  <si>
    <t>Foglalkoztatást helyettesítő támogatás</t>
  </si>
  <si>
    <t>All other except for housing</t>
  </si>
  <si>
    <t>Employment test also applies to claimant's spouse</t>
  </si>
  <si>
    <t>Unemployment insurance</t>
  </si>
  <si>
    <t>生活保護・生活扶助</t>
  </si>
  <si>
    <t xml:space="preserve">No </t>
  </si>
  <si>
    <t>All except family and individual housing benefits</t>
  </si>
  <si>
    <t>Conditions may be set discretionarily</t>
  </si>
  <si>
    <t>Zasiłek okresowy</t>
  </si>
  <si>
    <t>Housing and heating allowance at discretion of Social assistance centres</t>
  </si>
  <si>
    <t>Rendimento social de inserção</t>
  </si>
  <si>
    <t>Unemployment benefit</t>
  </si>
  <si>
    <t>Denarna socialna pomoč</t>
  </si>
  <si>
    <t xml:space="preserve">Ekonomiskt bistånd </t>
  </si>
  <si>
    <t>Rent fully covered</t>
  </si>
  <si>
    <t>Housing costs, allowance for basic medical costs</t>
  </si>
  <si>
    <t>Unemployment insurance and family benefits</t>
  </si>
  <si>
    <r>
      <rPr>
        <i/>
        <sz val="9"/>
        <rFont val="Arial"/>
        <family val="2"/>
      </rPr>
      <t>Supplemental Nutrition Assistance Program</t>
    </r>
    <r>
      <rPr>
        <sz val="9"/>
        <rFont val="Arial"/>
        <family val="2"/>
      </rPr>
      <t xml:space="preserve"> (SNAP)</t>
    </r>
  </si>
  <si>
    <t>Социално подпомагане - Месечни социални помощи</t>
  </si>
  <si>
    <t>Social assistance for heating</t>
  </si>
  <si>
    <t>G: + six month waiting period before support received</t>
  </si>
  <si>
    <t>Schema privind venitul minim garantat: ajutorul social pentru asigurarea venitului minim garantat</t>
  </si>
  <si>
    <t>All</t>
  </si>
  <si>
    <t>G: + benefit increased by 15% if at least one family member employed.</t>
  </si>
  <si>
    <r>
      <t>Amounts (in % of AW)</t>
    </r>
    <r>
      <rPr>
        <vertAlign val="superscript"/>
        <sz val="9"/>
        <rFont val="Arial"/>
        <family val="2"/>
      </rPr>
      <t>(3)</t>
    </r>
  </si>
  <si>
    <t>2. Conditions for healthy working-age inviduals.</t>
  </si>
  <si>
    <t>4. AUS and NZL: Low-income individuals actively looking for work typically receive means-tested unemployment assistance benefits (UA) of unlimited duration, also see the descriptions in the table on unemployment assistance.</t>
  </si>
  <si>
    <r>
      <t>Cash housing benefits for rented accomodation</t>
    </r>
    <r>
      <rPr>
        <b/>
        <vertAlign val="superscript"/>
        <sz val="14"/>
        <rFont val="Arial"/>
        <family val="2"/>
      </rPr>
      <t>(1)</t>
    </r>
  </si>
  <si>
    <t>PT_HB_name</t>
  </si>
  <si>
    <t>PT_HB_var_household_size</t>
  </si>
  <si>
    <t>PT_HB_var_income</t>
  </si>
  <si>
    <t>PT_HB_var_house_size</t>
  </si>
  <si>
    <t>PT_HB_var_geo</t>
  </si>
  <si>
    <t>PT_HB_var_rental_cost</t>
  </si>
  <si>
    <t>PT_HB_description</t>
  </si>
  <si>
    <t>PT_HB_max_AW</t>
  </si>
  <si>
    <t>PT_HB_other</t>
  </si>
  <si>
    <t>Regular housing benefits</t>
  </si>
  <si>
    <t>Housing related support through other benefits</t>
  </si>
  <si>
    <t>Entitlement depends on</t>
  </si>
  <si>
    <t>Household type/size</t>
  </si>
  <si>
    <t>Income</t>
  </si>
  <si>
    <t>Dwelling size</t>
  </si>
  <si>
    <t>Geographic location</t>
  </si>
  <si>
    <t>Actual rental cost</t>
  </si>
  <si>
    <r>
      <t>Maximum benefit amount 
in % of AW</t>
    </r>
    <r>
      <rPr>
        <vertAlign val="superscript"/>
        <sz val="9"/>
        <rFont val="Arial"/>
        <family val="2"/>
      </rPr>
      <t>(3)</t>
    </r>
  </si>
  <si>
    <t>Australia</t>
  </si>
  <si>
    <t>Canada</t>
  </si>
  <si>
    <t>No general scheme.</t>
  </si>
  <si>
    <t>Rules and payment rates determined provincially. A shelter allowance is included in the Ontario Works programme (SA) and amounts are determined by household size, income and location.</t>
  </si>
  <si>
    <r>
      <t>Hungary</t>
    </r>
    <r>
      <rPr>
        <vertAlign val="superscript"/>
        <sz val="9"/>
        <rFont val="Arial"/>
        <family val="2"/>
      </rPr>
      <t>(8)</t>
    </r>
  </si>
  <si>
    <r>
      <t>Israel</t>
    </r>
    <r>
      <rPr>
        <vertAlign val="superscript"/>
        <sz val="9"/>
        <rFont val="Arial"/>
        <family val="2"/>
      </rPr>
      <t>(6)</t>
    </r>
  </si>
  <si>
    <t>Norway (Oslo)</t>
  </si>
  <si>
    <t>United States</t>
  </si>
  <si>
    <t>No general housing benefit</t>
  </si>
  <si>
    <t>No housing benefit in the form of rent subsidy but support for purchasing/building the first home</t>
  </si>
  <si>
    <t>Boligsikring</t>
  </si>
  <si>
    <r>
      <t>Housing benefit provided through subsistence benefit  (</t>
    </r>
    <r>
      <rPr>
        <i/>
        <sz val="9"/>
        <rFont val="Arial"/>
        <family val="2"/>
      </rPr>
      <t>toimetulekutoetus</t>
    </r>
    <r>
      <rPr>
        <sz val="9"/>
        <rFont val="Arial"/>
        <family val="2"/>
      </rPr>
      <t>)</t>
    </r>
  </si>
  <si>
    <t>Yleinen asumistuki</t>
  </si>
  <si>
    <t>80% of (limited) rent above a "deductible amount"; available to families, couples and single people of limited means</t>
  </si>
  <si>
    <t>Rent supplement for social assistance recipients; housing allowance schemes for pensioners and students</t>
  </si>
  <si>
    <r>
      <rPr>
        <i/>
        <sz val="9"/>
        <rFont val="Arial"/>
        <family val="2"/>
      </rPr>
      <t>Aide personnalisé au logement</t>
    </r>
    <r>
      <rPr>
        <sz val="9"/>
        <rFont val="Arial"/>
        <family val="2"/>
      </rPr>
      <t xml:space="preserve"> (APL),</t>
    </r>
    <r>
      <rPr>
        <i/>
        <sz val="9"/>
        <rFont val="Arial"/>
        <family val="2"/>
      </rPr>
      <t xml:space="preserve"> allocation de logement à caractére famlial</t>
    </r>
    <r>
      <rPr>
        <sz val="9"/>
        <rFont val="Arial"/>
        <family val="2"/>
      </rPr>
      <t xml:space="preserve"> (ALF), </t>
    </r>
    <r>
      <rPr>
        <i/>
        <sz val="9"/>
        <rFont val="Arial"/>
        <family val="2"/>
      </rPr>
      <t>allocation de logement de caratère social</t>
    </r>
    <r>
      <rPr>
        <sz val="9"/>
        <rFont val="Arial"/>
        <family val="2"/>
      </rPr>
      <t xml:space="preserve"> (ALS)</t>
    </r>
  </si>
  <si>
    <t xml:space="preserve">Benefit amount equals actual rent up to a maximum amount minus a personal contribution that depends on the rent, income and family size. </t>
  </si>
  <si>
    <t>Wohngeld</t>
  </si>
  <si>
    <t>Rent Supplement as part of social assistance (supplementary welfare allowance scheme)</t>
  </si>
  <si>
    <t>Huurtoeslag</t>
  </si>
  <si>
    <t>Bostøtte</t>
  </si>
  <si>
    <t>Dodatki mieszkaniowe</t>
  </si>
  <si>
    <t>Depends on dwelling size and actual rent cost</t>
  </si>
  <si>
    <t>For social assistance recipients: Housing and heating allowance at discretion of Social assistance centres</t>
  </si>
  <si>
    <t>Subsídio de lar - Subsídio de renda</t>
  </si>
  <si>
    <t>Subvencija za najemnine</t>
  </si>
  <si>
    <t xml:space="preserve">Total housing costs are divided in brackets. 100% of the first bracket is covered, followed by 50-90% of the next bracket up to a maximum. The benefit amount is reduced by 20% (33%) of income above a threshold for families with (without) children. Subsidy rates and income thresholds depend on family type. </t>
  </si>
  <si>
    <t>Rent fully covered for social assistance recipients</t>
  </si>
  <si>
    <t>No general scheme. Some cantons provide housing benefit to low-income households, elderly or families with children.</t>
  </si>
  <si>
    <t>Housing assistance for social assistance recipients</t>
  </si>
  <si>
    <t>quant table</t>
  </si>
  <si>
    <t>Source look-up value:</t>
  </si>
  <si>
    <t>PT_CB_name</t>
  </si>
  <si>
    <t>PT_CB_type</t>
  </si>
  <si>
    <t>PT_CB_cond_age</t>
  </si>
  <si>
    <t>PT_CB_cond_other</t>
  </si>
  <si>
    <t>see left most column</t>
  </si>
  <si>
    <t>PT_CB_var_age</t>
  </si>
  <si>
    <t>PT_CB_var_children</t>
  </si>
  <si>
    <t>PT_CB_earnings_disreg</t>
  </si>
  <si>
    <t>PT_CB_withdrawal</t>
  </si>
  <si>
    <t>PT_CB_means_assets</t>
  </si>
  <si>
    <t>Program name (local name in parentheses if available)</t>
  </si>
  <si>
    <t>Type of benefit</t>
  </si>
  <si>
    <t>Eligibility criteria</t>
  </si>
  <si>
    <t>Income test or income dependence</t>
  </si>
  <si>
    <t>Age limits for children up to and including (in parentheses if student)</t>
  </si>
  <si>
    <r>
      <t>Maximum benefit for one child aged between 3 and 12 in % of AW</t>
    </r>
    <r>
      <rPr>
        <vertAlign val="superscript"/>
        <sz val="9"/>
        <rFont val="Arial"/>
        <family val="2"/>
      </rPr>
      <t>(3)</t>
    </r>
  </si>
  <si>
    <t>Withdrawal rate</t>
  </si>
  <si>
    <t>Assets part of means test?</t>
  </si>
  <si>
    <t>PT_FB1_max_AW</t>
  </si>
  <si>
    <t>PT_FB2_max_AW</t>
  </si>
  <si>
    <t>PT_FB3_max_AW</t>
  </si>
  <si>
    <t>PT_LPB1_max_AW</t>
  </si>
  <si>
    <t>PT_LPB2_max_AW</t>
  </si>
  <si>
    <t>PT_FB4_max_AW</t>
  </si>
  <si>
    <t>PT_FB6_max_AW</t>
  </si>
  <si>
    <t>PT_FB7_max_AW</t>
  </si>
  <si>
    <t>PT_LPB3_max_AW</t>
  </si>
  <si>
    <t>PT_LPB4_max_AW</t>
  </si>
  <si>
    <r>
      <t>Greece</t>
    </r>
    <r>
      <rPr>
        <vertAlign val="superscript"/>
        <sz val="9"/>
        <rFont val="Arial"/>
        <family val="2"/>
      </rPr>
      <t>(5)</t>
    </r>
  </si>
  <si>
    <t>PT_LPB5_max_AW</t>
  </si>
  <si>
    <t>Switzerland (Zurich)</t>
  </si>
  <si>
    <t>Age of child (+: more for older children, -: less for older children, 0: no difference by age)</t>
  </si>
  <si>
    <t>Per-child benefit amount varies with:</t>
  </si>
  <si>
    <t xml:space="preserve">Number of children (+: per-child amount increases with number of children, 0: same amount for each child, -: per-child amount decreases with number of children, --: no change in total amount by family size). </t>
  </si>
  <si>
    <t>Family Tax Benefit Part A</t>
  </si>
  <si>
    <t>Targeted</t>
  </si>
  <si>
    <t>+</t>
  </si>
  <si>
    <t>Family Tax Benefit Part B</t>
  </si>
  <si>
    <t>Parenting Payment (single)</t>
  </si>
  <si>
    <t>Universal</t>
  </si>
  <si>
    <t>18 (24)</t>
  </si>
  <si>
    <r>
      <t>School Bonus (</t>
    </r>
    <r>
      <rPr>
        <i/>
        <sz val="9"/>
        <rFont val="Arial"/>
        <family val="2"/>
      </rPr>
      <t>Schulstartgeld</t>
    </r>
    <r>
      <rPr>
        <sz val="9"/>
        <rFont val="Arial"/>
        <family val="2"/>
      </rPr>
      <t>)</t>
    </r>
  </si>
  <si>
    <r>
      <t>Family benefit (</t>
    </r>
    <r>
      <rPr>
        <i/>
        <sz val="9"/>
        <rFont val="Arial"/>
        <family val="2"/>
      </rPr>
      <t>Allocation familiale</t>
    </r>
    <r>
      <rPr>
        <sz val="9"/>
        <rFont val="Arial"/>
        <family val="2"/>
      </rPr>
      <t>)</t>
    </r>
  </si>
  <si>
    <t>17 (24)</t>
  </si>
  <si>
    <t>Lone parent supplement to family benefit</t>
  </si>
  <si>
    <r>
      <t>Lone parent child care benefit (</t>
    </r>
    <r>
      <rPr>
        <i/>
        <sz val="9"/>
        <rFont val="Arial"/>
        <family val="2"/>
      </rPr>
      <t>Complément de garde d'enfant</t>
    </r>
    <r>
      <rPr>
        <sz val="9"/>
        <rFont val="Arial"/>
        <family val="2"/>
      </rPr>
      <t>)</t>
    </r>
  </si>
  <si>
    <t>Targeted non-wastable tax credit</t>
  </si>
  <si>
    <r>
      <rPr>
        <i/>
        <sz val="9"/>
        <rFont val="Arial"/>
        <family val="2"/>
      </rPr>
      <t>Working Income Tax Benefit</t>
    </r>
    <r>
      <rPr>
        <sz val="9"/>
        <rFont val="Arial"/>
        <family val="2"/>
      </rPr>
      <t xml:space="preserve"> (WITB)</t>
    </r>
  </si>
  <si>
    <t>Ontario Sales Tax Credit</t>
  </si>
  <si>
    <t>Goods and Services Tax Credit</t>
  </si>
  <si>
    <r>
      <t xml:space="preserve">Increase in </t>
    </r>
    <r>
      <rPr>
        <i/>
        <sz val="9"/>
        <rFont val="Arial"/>
        <family val="2"/>
      </rPr>
      <t xml:space="preserve">Goods and Services Tax Credit </t>
    </r>
    <r>
      <rPr>
        <sz val="9"/>
        <rFont val="Arial"/>
        <family val="2"/>
      </rPr>
      <t>for lone parents</t>
    </r>
  </si>
  <si>
    <r>
      <rPr>
        <i/>
        <sz val="9"/>
        <rFont val="Arial"/>
        <family val="2"/>
      </rPr>
      <t>Eligible Dependant Tax Credit</t>
    </r>
    <r>
      <rPr>
        <sz val="9"/>
        <rFont val="Arial"/>
        <family val="2"/>
      </rPr>
      <t xml:space="preserve"> (federal)</t>
    </r>
  </si>
  <si>
    <r>
      <rPr>
        <i/>
        <sz val="9"/>
        <rFont val="Arial"/>
        <family val="2"/>
      </rPr>
      <t>Eligible Dependant Tax Credit</t>
    </r>
    <r>
      <rPr>
        <sz val="9"/>
        <rFont val="Arial"/>
        <family val="2"/>
      </rPr>
      <t xml:space="preserve"> (Ontario)</t>
    </r>
  </si>
  <si>
    <t>Wastable tax credit</t>
  </si>
  <si>
    <t>17 (23)</t>
  </si>
  <si>
    <t>Child allowance</t>
  </si>
  <si>
    <t>14 (25)</t>
  </si>
  <si>
    <t>-</t>
  </si>
  <si>
    <r>
      <t>Child allowance (</t>
    </r>
    <r>
      <rPr>
        <i/>
        <sz val="9"/>
        <rFont val="Arial"/>
        <family val="2"/>
      </rPr>
      <t>lapsetoetus</t>
    </r>
    <r>
      <rPr>
        <sz val="9"/>
        <rFont val="Arial"/>
        <family val="2"/>
      </rPr>
      <t>)</t>
    </r>
  </si>
  <si>
    <t>15 (18)</t>
  </si>
  <si>
    <r>
      <t>Lone parent supplement to child allowance (</t>
    </r>
    <r>
      <rPr>
        <i/>
        <sz val="9"/>
        <rFont val="Arial"/>
        <family val="2"/>
      </rPr>
      <t>lapsetoetus</t>
    </r>
    <r>
      <rPr>
        <sz val="9"/>
        <rFont val="Arial"/>
        <family val="2"/>
      </rPr>
      <t>)</t>
    </r>
  </si>
  <si>
    <t>Absent parent does not pay alimony</t>
  </si>
  <si>
    <r>
      <t>Family benefit (</t>
    </r>
    <r>
      <rPr>
        <i/>
        <sz val="9"/>
        <rFont val="Arial"/>
        <family val="2"/>
      </rPr>
      <t>lapsilisä</t>
    </r>
    <r>
      <rPr>
        <sz val="9"/>
        <rFont val="Arial"/>
        <family val="2"/>
      </rPr>
      <t>)</t>
    </r>
  </si>
  <si>
    <r>
      <t>Lone parent supplement to family benefit (</t>
    </r>
    <r>
      <rPr>
        <i/>
        <sz val="9"/>
        <rFont val="Arial"/>
        <family val="2"/>
      </rPr>
      <t>lapsilisä</t>
    </r>
    <r>
      <rPr>
        <sz val="9"/>
        <rFont val="Arial"/>
        <family val="2"/>
      </rPr>
      <t>)</t>
    </r>
  </si>
  <si>
    <r>
      <t>General family benefit (</t>
    </r>
    <r>
      <rPr>
        <i/>
        <sz val="9"/>
        <rFont val="Arial"/>
        <family val="2"/>
      </rPr>
      <t>Allocations Familiales</t>
    </r>
    <r>
      <rPr>
        <sz val="9"/>
        <rFont val="Arial"/>
        <family val="2"/>
      </rPr>
      <t xml:space="preserve"> (AF))</t>
    </r>
  </si>
  <si>
    <r>
      <t>Young child benefit (</t>
    </r>
    <r>
      <rPr>
        <i/>
        <sz val="9"/>
        <rFont val="Arial"/>
        <family val="2"/>
      </rPr>
      <t xml:space="preserve">Prestation d'accueil du jeune enfant </t>
    </r>
    <r>
      <rPr>
        <sz val="9"/>
        <rFont val="Arial"/>
        <family val="2"/>
      </rPr>
      <t>(PAJE))</t>
    </r>
  </si>
  <si>
    <t>Varies by family size</t>
  </si>
  <si>
    <r>
      <t>School allowance (</t>
    </r>
    <r>
      <rPr>
        <i/>
        <sz val="9"/>
        <rFont val="Arial"/>
        <family val="2"/>
      </rPr>
      <t>Allocation Rentrée Scolaire</t>
    </r>
    <r>
      <rPr>
        <sz val="9"/>
        <rFont val="Arial"/>
        <family val="2"/>
      </rPr>
      <t xml:space="preserve"> (ARS))</t>
    </r>
  </si>
  <si>
    <r>
      <t>Lone parent benefit (</t>
    </r>
    <r>
      <rPr>
        <i/>
        <sz val="9"/>
        <rFont val="Arial"/>
        <family val="2"/>
      </rPr>
      <t>Allocation Soutien Familiale</t>
    </r>
    <r>
      <rPr>
        <sz val="9"/>
        <rFont val="Arial"/>
        <family val="2"/>
      </rPr>
      <t xml:space="preserve"> (ASF))</t>
    </r>
  </si>
  <si>
    <t>18 (25)</t>
  </si>
  <si>
    <r>
      <t>Education and participation package (</t>
    </r>
    <r>
      <rPr>
        <i/>
        <sz val="9"/>
        <rFont val="Arial"/>
        <family val="2"/>
      </rPr>
      <t>Bildungspaket</t>
    </r>
    <r>
      <rPr>
        <sz val="9"/>
        <rFont val="Arial"/>
        <family val="2"/>
      </rPr>
      <t>)</t>
    </r>
  </si>
  <si>
    <t>Family receives unemployment benefit II</t>
  </si>
  <si>
    <r>
      <t>Family allowance (</t>
    </r>
    <r>
      <rPr>
        <i/>
        <sz val="9"/>
        <rFont val="Arial"/>
        <family val="2"/>
      </rPr>
      <t>Családi pótlék</t>
    </r>
    <r>
      <rPr>
        <sz val="9"/>
        <rFont val="Arial"/>
        <family val="2"/>
      </rPr>
      <t>)</t>
    </r>
  </si>
  <si>
    <t>18 (23)</t>
  </si>
  <si>
    <r>
      <t>Family benefit (</t>
    </r>
    <r>
      <rPr>
        <i/>
        <sz val="9"/>
        <rFont val="Arial"/>
        <family val="2"/>
      </rPr>
      <t>barnabætur</t>
    </r>
    <r>
      <rPr>
        <sz val="9"/>
        <rFont val="Arial"/>
        <family val="2"/>
      </rPr>
      <t>)</t>
    </r>
  </si>
  <si>
    <t>Lone parent</t>
  </si>
  <si>
    <t>Lone parent mother/fatherhood allowance</t>
  </si>
  <si>
    <t>Child benefit</t>
  </si>
  <si>
    <t>15 (17)</t>
  </si>
  <si>
    <r>
      <rPr>
        <i/>
        <sz val="9"/>
        <rFont val="Arial"/>
        <family val="2"/>
      </rPr>
      <t>One-parent family payment</t>
    </r>
    <r>
      <rPr>
        <sz val="9"/>
        <rFont val="Arial"/>
        <family val="2"/>
      </rPr>
      <t xml:space="preserve"> (OFP)</t>
    </r>
  </si>
  <si>
    <t>Targeted wastable tax credit</t>
  </si>
  <si>
    <t>Preferential income tax schedule for lone parents</t>
  </si>
  <si>
    <t>Child tax allowance</t>
  </si>
  <si>
    <t>Parents with work income or on unemployment insurance benefit</t>
  </si>
  <si>
    <t>Earned income tax credit for parents</t>
  </si>
  <si>
    <t>Working low-income parents</t>
  </si>
  <si>
    <t>Varies by number of children and income</t>
  </si>
  <si>
    <t>17 (20)</t>
  </si>
  <si>
    <t>Child tax credit</t>
  </si>
  <si>
    <t>Large family child tax credit</t>
  </si>
  <si>
    <t>Family benefit</t>
  </si>
  <si>
    <t>Tax allowance</t>
  </si>
  <si>
    <r>
      <t>School expenses allowance (</t>
    </r>
    <r>
      <rPr>
        <i/>
        <sz val="9"/>
        <rFont val="Arial"/>
        <family val="2"/>
      </rPr>
      <t>Allocation rentrée scolaire</t>
    </r>
    <r>
      <rPr>
        <sz val="9"/>
        <rFont val="Arial"/>
        <family val="2"/>
      </rPr>
      <t>)</t>
    </r>
  </si>
  <si>
    <t>Lower tax rates</t>
  </si>
  <si>
    <r>
      <t>Family benefit (</t>
    </r>
    <r>
      <rPr>
        <i/>
        <sz val="9"/>
        <rFont val="Arial"/>
        <family val="2"/>
      </rPr>
      <t>Abono de família para crianças e jovens</t>
    </r>
    <r>
      <rPr>
        <sz val="9"/>
        <rFont val="Arial"/>
        <family val="2"/>
      </rPr>
      <t>)</t>
    </r>
  </si>
  <si>
    <r>
      <t>Additional family benefit (</t>
    </r>
    <r>
      <rPr>
        <i/>
        <sz val="9"/>
        <rFont val="Arial"/>
        <family val="2"/>
      </rPr>
      <t>Abono de família para crianças e jovens</t>
    </r>
    <r>
      <rPr>
        <sz val="9"/>
        <rFont val="Arial"/>
        <family val="2"/>
      </rPr>
      <t>) for lone parents</t>
    </r>
  </si>
  <si>
    <r>
      <t>Child allowance (</t>
    </r>
    <r>
      <rPr>
        <i/>
        <sz val="9"/>
        <rFont val="Arial"/>
        <family val="2"/>
      </rPr>
      <t>Prídavok na dieťa</t>
    </r>
    <r>
      <rPr>
        <sz val="9"/>
        <rFont val="Arial"/>
        <family val="2"/>
      </rPr>
      <t>)</t>
    </r>
  </si>
  <si>
    <t>Non-wastable tax credit</t>
  </si>
  <si>
    <r>
      <t>Family benefit (</t>
    </r>
    <r>
      <rPr>
        <i/>
        <sz val="9"/>
        <rFont val="Arial"/>
        <family val="2"/>
      </rPr>
      <t>otroški dodatek</t>
    </r>
    <r>
      <rPr>
        <sz val="9"/>
        <rFont val="Arial"/>
        <family val="2"/>
      </rPr>
      <t>)</t>
    </r>
  </si>
  <si>
    <r>
      <t>Large family allowance (</t>
    </r>
    <r>
      <rPr>
        <i/>
        <sz val="9"/>
        <rFont val="Arial"/>
        <family val="2"/>
      </rPr>
      <t>dodatek za veliko družino</t>
    </r>
    <r>
      <rPr>
        <sz val="9"/>
        <rFont val="Arial"/>
        <family val="2"/>
      </rPr>
      <t>)</t>
    </r>
  </si>
  <si>
    <t>Tax allowance for children</t>
  </si>
  <si>
    <r>
      <t>Supplement to social assistance (</t>
    </r>
    <r>
      <rPr>
        <i/>
        <sz val="9"/>
        <rFont val="Arial"/>
        <family val="2"/>
      </rPr>
      <t>Denarna socialna pomoč</t>
    </r>
    <r>
      <rPr>
        <sz val="9"/>
        <rFont val="Arial"/>
        <family val="2"/>
      </rPr>
      <t>) for lone parents</t>
    </r>
  </si>
  <si>
    <r>
      <t>Supplement to family benefit (</t>
    </r>
    <r>
      <rPr>
        <i/>
        <sz val="9"/>
        <rFont val="Arial"/>
        <family val="2"/>
      </rPr>
      <t>otroški dodatek</t>
    </r>
    <r>
      <rPr>
        <sz val="9"/>
        <rFont val="Arial"/>
        <family val="2"/>
      </rPr>
      <t>) for lone parents</t>
    </r>
  </si>
  <si>
    <t>15 (19)</t>
  </si>
  <si>
    <t>15 (24)</t>
  </si>
  <si>
    <t>Parents must be working or receiving unemployment benefit</t>
  </si>
  <si>
    <t>Universal, but off-set by tax charge for high-income families</t>
  </si>
  <si>
    <r>
      <rPr>
        <i/>
        <sz val="9"/>
        <rFont val="Arial"/>
        <family val="2"/>
      </rPr>
      <t>Temporary Assistance for Needy Families</t>
    </r>
    <r>
      <rPr>
        <sz val="9"/>
        <rFont val="Arial"/>
        <family val="2"/>
      </rPr>
      <t xml:space="preserve"> (TANF)</t>
    </r>
  </si>
  <si>
    <t>18 (19)</t>
  </si>
  <si>
    <r>
      <rPr>
        <i/>
        <sz val="9"/>
        <rFont val="Arial"/>
        <family val="2"/>
      </rPr>
      <t>Earned Income Tax Credit</t>
    </r>
    <r>
      <rPr>
        <sz val="9"/>
        <rFont val="Arial"/>
        <family val="2"/>
      </rPr>
      <t xml:space="preserve"> (EITC)</t>
    </r>
  </si>
  <si>
    <t>Working parent(s)</t>
  </si>
  <si>
    <t xml:space="preserve">Tax allowance </t>
  </si>
  <si>
    <t>Targeted tax credit, partly non-wastable</t>
  </si>
  <si>
    <t>First grade pupils</t>
  </si>
  <si>
    <t>Absent parent does not pay child support/alimony</t>
  </si>
  <si>
    <t>14 (18)</t>
  </si>
  <si>
    <r>
      <t>Family benefit (</t>
    </r>
    <r>
      <rPr>
        <i/>
        <sz val="9"/>
        <rFont val="Arial"/>
        <family val="2"/>
      </rPr>
      <t>ģimenes valsts pabalsts</t>
    </r>
    <r>
      <rPr>
        <sz val="9"/>
        <rFont val="Arial"/>
        <family val="2"/>
      </rPr>
      <t>)</t>
    </r>
  </si>
  <si>
    <t>Paid under the decision of the court if absent parent does not pay child support</t>
  </si>
  <si>
    <t xml:space="preserve">n.a. </t>
  </si>
  <si>
    <t>Varies by family size: 6% for each child aged under 16 plus 2% for each child aged 16-20</t>
  </si>
  <si>
    <t>Lone parent with at least 2 children</t>
  </si>
  <si>
    <t>0, with more than 3 children supplemental non-wastable child credit may be claimed</t>
  </si>
  <si>
    <t>0, + from third child on</t>
  </si>
  <si>
    <t>*</t>
  </si>
  <si>
    <t>0 up till fourth child, then --</t>
  </si>
  <si>
    <t>Type of employment-conditional benefit</t>
  </si>
  <si>
    <t>Beneficiaries of employment-conditional benefit</t>
  </si>
  <si>
    <t>Eligibility and calculation criteria</t>
  </si>
  <si>
    <t>Time dependency of employment-conditional benefit</t>
  </si>
  <si>
    <t>Child-based condition</t>
  </si>
  <si>
    <t>Influence of number of children on benefit amount</t>
  </si>
  <si>
    <t>Working hour criterion</t>
  </si>
  <si>
    <t>Transition criterion</t>
  </si>
  <si>
    <t>Minimum earnings criterion for eligbility</t>
  </si>
  <si>
    <t>(Maximum) benefit amount</t>
  </si>
  <si>
    <t>Phase-in rate</t>
  </si>
  <si>
    <t>Phase-out rate</t>
  </si>
  <si>
    <t>[15]</t>
  </si>
  <si>
    <r>
      <t>Supplement to family benefit (</t>
    </r>
    <r>
      <rPr>
        <i/>
        <sz val="9"/>
        <rFont val="Arial"/>
        <family val="2"/>
      </rPr>
      <t>zasiłek rodzinny</t>
    </r>
    <r>
      <rPr>
        <sz val="9"/>
        <rFont val="Arial"/>
        <family val="2"/>
      </rPr>
      <t>) for lone parents</t>
    </r>
  </si>
  <si>
    <r>
      <t>Alimony advance payment (</t>
    </r>
    <r>
      <rPr>
        <i/>
        <sz val="9"/>
        <rFont val="Arial"/>
        <family val="2"/>
      </rPr>
      <t>Underhållsstöd</t>
    </r>
    <r>
      <rPr>
        <sz val="9"/>
        <rFont val="Arial"/>
        <family val="2"/>
      </rPr>
      <t>)</t>
    </r>
  </si>
  <si>
    <r>
      <t>Allowance for family support (</t>
    </r>
    <r>
      <rPr>
        <i/>
        <sz val="9"/>
        <rFont val="Arial"/>
        <family val="2"/>
      </rPr>
      <t>Alocația pentru susținerea familiei</t>
    </r>
    <r>
      <rPr>
        <sz val="9"/>
        <rFont val="Arial"/>
        <family val="2"/>
      </rPr>
      <t>)</t>
    </r>
  </si>
  <si>
    <r>
      <t>Supplement to allowance for family support (</t>
    </r>
    <r>
      <rPr>
        <i/>
        <sz val="9"/>
        <rFont val="Arial"/>
        <family val="2"/>
      </rPr>
      <t>Alocația pentru susținerea familiei</t>
    </r>
    <r>
      <rPr>
        <sz val="9"/>
        <rFont val="Arial"/>
        <family val="2"/>
      </rPr>
      <t>) for lone parents</t>
    </r>
  </si>
  <si>
    <r>
      <t>Earnings when phasing out begins (% AW)</t>
    </r>
    <r>
      <rPr>
        <vertAlign val="superscript"/>
        <sz val="9"/>
        <rFont val="Arial"/>
        <family val="2"/>
      </rPr>
      <t>(4)</t>
    </r>
  </si>
  <si>
    <r>
      <t>Approximate maximum earnings when benefit is phased out completely (% AW)</t>
    </r>
    <r>
      <rPr>
        <vertAlign val="superscript"/>
        <sz val="9"/>
        <rFont val="Arial"/>
        <family val="2"/>
      </rPr>
      <t>(4)</t>
    </r>
  </si>
  <si>
    <r>
      <t>Luxembourg</t>
    </r>
    <r>
      <rPr>
        <vertAlign val="superscript"/>
        <sz val="9"/>
        <rFont val="Arial"/>
        <family val="2"/>
      </rPr>
      <t>(10)</t>
    </r>
  </si>
  <si>
    <t>No phase-out</t>
  </si>
  <si>
    <t>Individual's gross earnings</t>
  </si>
  <si>
    <t>Ontario Other Employment and Employment Assistance Activities Benefit</t>
  </si>
  <si>
    <t>In-work benefit</t>
  </si>
  <si>
    <t>Once in 12 months</t>
  </si>
  <si>
    <t>Yes, less than 80% of full-time hours</t>
  </si>
  <si>
    <t>Earned income tax credit</t>
  </si>
  <si>
    <t>Employees</t>
  </si>
  <si>
    <t>Taxable income</t>
  </si>
  <si>
    <t>Mini- and Midijob (marginal employment) schemes</t>
  </si>
  <si>
    <t>Net family income</t>
  </si>
  <si>
    <t>Gross income</t>
  </si>
  <si>
    <t>Working parents</t>
  </si>
  <si>
    <t>Re-employment allowance</t>
  </si>
  <si>
    <t>Unemployment benefit recipients taking up work</t>
  </si>
  <si>
    <t>Employment tax credit</t>
  </si>
  <si>
    <t>Work-related expenses allowance</t>
  </si>
  <si>
    <t>Individual gross earnings</t>
  </si>
  <si>
    <t>Individual's work income plus potential unemployment benefits less social security contributions</t>
  </si>
  <si>
    <t>Individual net earnings</t>
  </si>
  <si>
    <r>
      <t>Reduction of employee social security contributions (</t>
    </r>
    <r>
      <rPr>
        <i/>
        <sz val="9"/>
        <rFont val="Arial"/>
        <family val="2"/>
      </rPr>
      <t>Réduction des cotisations personelles de sécurité sociale</t>
    </r>
    <r>
      <rPr>
        <sz val="9"/>
        <rFont val="Arial"/>
        <family val="2"/>
      </rPr>
      <t>)</t>
    </r>
  </si>
  <si>
    <t>Family net income</t>
  </si>
  <si>
    <t>0%, but hours criteria for eligibility</t>
  </si>
  <si>
    <t>Gross family earnings</t>
  </si>
  <si>
    <t>No, lump-sum payment</t>
  </si>
  <si>
    <t>Depends on previous earnings</t>
  </si>
  <si>
    <t>50% during first year of employment, otherwise 80%</t>
  </si>
  <si>
    <t>Family taxable income</t>
  </si>
  <si>
    <t>Into-work benefit</t>
  </si>
  <si>
    <t>Yes, must be in work</t>
  </si>
  <si>
    <r>
      <t>Into-work benefit based on remaining unemployment benefit (</t>
    </r>
    <r>
      <rPr>
        <i/>
        <sz val="9"/>
        <rFont val="Arial"/>
        <family val="2"/>
      </rPr>
      <t>Dávka v nezamestnanosti</t>
    </r>
    <r>
      <rPr>
        <sz val="9"/>
        <rFont val="Arial"/>
        <family val="2"/>
      </rPr>
      <t>) claim</t>
    </r>
  </si>
  <si>
    <t>Can claim 50% of remaining unemployment insurance as a lump sum if begins working again after 3 months of unemployment</t>
  </si>
  <si>
    <r>
      <t>Social assistance (</t>
    </r>
    <r>
      <rPr>
        <i/>
        <sz val="9"/>
        <rFont val="Arial"/>
        <family val="2"/>
      </rPr>
      <t>Denarna socialna pomoč</t>
    </r>
    <r>
      <rPr>
        <sz val="9"/>
        <rFont val="Arial"/>
        <family val="2"/>
      </rPr>
      <t>) supplements if working</t>
    </r>
  </si>
  <si>
    <r>
      <rPr>
        <i/>
        <sz val="9"/>
        <rFont val="Arial"/>
        <family val="2"/>
      </rPr>
      <t>Earned income tax credit</t>
    </r>
    <r>
      <rPr>
        <sz val="9"/>
        <rFont val="Arial"/>
        <family val="2"/>
      </rPr>
      <t xml:space="preserve"> (EITC)</t>
    </r>
  </si>
  <si>
    <t>30% of previous unemployment benefit payment</t>
  </si>
  <si>
    <t>Up to 3 months</t>
  </si>
  <si>
    <t>Social assistance benefit</t>
  </si>
  <si>
    <t>4. Phasing-out thresholds are shown for a single person working full-time if not indicated differently in country-specific footnotes.</t>
  </si>
  <si>
    <t>2. + (-) indicates a more (less) than proportional increase for each additional child. +/- for countries that give higher rates to the youngest and oldest age groups.</t>
  </si>
  <si>
    <t xml:space="preserve">4. AUS: Recipients of FTB and Parenting Payment in Australia are entitled to Clean Energy Advance (later substituted by Clean Energy Supplement) to offset the impacts of carbon pricing. </t>
  </si>
  <si>
    <t>Tax treatment of benefits</t>
  </si>
  <si>
    <t>PT_UI_taxable</t>
  </si>
  <si>
    <t>PT_UA_taxable</t>
  </si>
  <si>
    <t>PT_FB_taxable</t>
  </si>
  <si>
    <t>PT_LP_taxable</t>
  </si>
  <si>
    <t>PT_HB_taxable</t>
  </si>
  <si>
    <t>PT_SA_taxable</t>
  </si>
  <si>
    <t>Legend:</t>
  </si>
  <si>
    <t>T</t>
  </si>
  <si>
    <t>Taxes are payable.</t>
  </si>
  <si>
    <t>T(n) or S(n)</t>
  </si>
  <si>
    <t>Long-term recipients will not pay the taxes</t>
  </si>
  <si>
    <t>(T)</t>
  </si>
  <si>
    <t>Taxes payable on parts of benefit.</t>
  </si>
  <si>
    <t>or SSC as the credits, allowances or zero</t>
  </si>
  <si>
    <t>S</t>
  </si>
  <si>
    <t>Social security contributions (SSC) are payable.</t>
  </si>
  <si>
    <t>rate bands exceed the benefit level.</t>
  </si>
  <si>
    <t>N</t>
  </si>
  <si>
    <t>Neither taxes nor SSC are levied.</t>
  </si>
  <si>
    <t xml:space="preserve">(reduced)
                            </t>
  </si>
  <si>
    <t>A reduced rate is payable for beneficiaries.</t>
  </si>
  <si>
    <t>No specific scheme / Does not apply.</t>
  </si>
  <si>
    <t>tc</t>
  </si>
  <si>
    <t>Benefit is a proportion of after tax income</t>
  </si>
  <si>
    <t>(and thus not taxable).</t>
  </si>
  <si>
    <t>Unemployment insurance benefit</t>
  </si>
  <si>
    <t>Unemployment assistance benefit</t>
  </si>
  <si>
    <r>
      <t>Lone-parent benefit</t>
    </r>
    <r>
      <rPr>
        <vertAlign val="superscript"/>
        <sz val="9"/>
        <rFont val="Arial"/>
        <family val="2"/>
      </rPr>
      <t>(1)</t>
    </r>
  </si>
  <si>
    <t>Housing benefit</t>
  </si>
  <si>
    <r>
      <t>France</t>
    </r>
    <r>
      <rPr>
        <vertAlign val="superscript"/>
        <sz val="9"/>
        <rFont val="Arial"/>
        <family val="2"/>
      </rPr>
      <t>(2)</t>
    </r>
  </si>
  <si>
    <r>
      <t>Luxembourg</t>
    </r>
    <r>
      <rPr>
        <vertAlign val="superscript"/>
        <sz val="9"/>
        <rFont val="Arial"/>
        <family val="2"/>
      </rPr>
      <t>(3)</t>
    </r>
  </si>
  <si>
    <r>
      <t>Spain</t>
    </r>
    <r>
      <rPr>
        <vertAlign val="superscript"/>
        <sz val="9"/>
        <rFont val="Arial"/>
        <family val="2"/>
      </rPr>
      <t>(5)</t>
    </r>
  </si>
  <si>
    <r>
      <t>Turkey</t>
    </r>
    <r>
      <rPr>
        <vertAlign val="superscript"/>
        <sz val="9"/>
        <rFont val="Arial"/>
        <family val="2"/>
      </rPr>
      <t>(6)</t>
    </r>
  </si>
  <si>
    <t>T(n)</t>
  </si>
  <si>
    <t>T, S (reduced)</t>
  </si>
  <si>
    <t>T, S (only health insurance contribution)</t>
  </si>
  <si>
    <t>T, S(reduced)</t>
  </si>
  <si>
    <t>T(n), S(n)</t>
  </si>
  <si>
    <t>T, S</t>
  </si>
  <si>
    <t>T (reduced)</t>
  </si>
  <si>
    <t>S (reduced)</t>
  </si>
  <si>
    <t>T (reduced), S(reduced)</t>
  </si>
  <si>
    <t>N/tc</t>
  </si>
  <si>
    <t>T(reduced)</t>
  </si>
  <si>
    <t>1.  Only countries that provide family benefit supplement or specific non-means-tested benefits.</t>
  </si>
  <si>
    <r>
      <t xml:space="preserve">2. FRA: Family and housing benefits are not taxable as such but are subject to an obligatory contribution of 0.5% to a social fund (CRDS - </t>
    </r>
    <r>
      <rPr>
        <i/>
        <sz val="9"/>
        <rFont val="Arial"/>
        <family val="2"/>
      </rPr>
      <t>contribution au remboursement de la dette sociale</t>
    </r>
    <r>
      <rPr>
        <sz val="9"/>
        <rFont val="Arial"/>
        <family val="2"/>
      </rPr>
      <t>).</t>
    </r>
  </si>
  <si>
    <t>3. LUX: Unemployment benefit recipients have to pay social contributions for health care, long-term care and for pensions. Social assistance benefit recipients pay full social security contributions payable with regard to the basic social assistance benefit, but pay only the sickness contributions and long term care contributions for the complementary benefit (includes rent assistance). The expensive life allowance is not taxable and no contributions to sickness and long-term care funds have to be made.</t>
  </si>
  <si>
    <t>4. NOR: Out of lone parent benefits only transitional benefit is taxable.</t>
  </si>
  <si>
    <t>5. ESP: If unemployment assistance benefit is the only income source, it is not taxable.</t>
  </si>
  <si>
    <t>6. TUR:  Unemployment insurance benefits subject to stamp tax but not income tax.</t>
  </si>
  <si>
    <t>6. ISR: Grade 45 is assumed for the calculation of housing benefit in Israel. If income from wage is under 25% above the income level credit (grade 46), a smaller benefit is awarded.</t>
  </si>
  <si>
    <r>
      <rPr>
        <i/>
        <sz val="9"/>
        <rFont val="Arial"/>
        <family val="2"/>
      </rPr>
      <t>Unemployment benefit</t>
    </r>
    <r>
      <rPr>
        <sz val="9"/>
        <rFont val="Arial"/>
        <family val="2"/>
      </rPr>
      <t xml:space="preserve"> (UB, contributory)
</t>
    </r>
    <r>
      <rPr>
        <i/>
        <sz val="9"/>
        <rFont val="Arial"/>
        <family val="2"/>
      </rPr>
      <t>Special unemployment benefit</t>
    </r>
    <r>
      <rPr>
        <sz val="9"/>
        <rFont val="Arial"/>
        <family val="2"/>
      </rPr>
      <t xml:space="preserve"> (SUB, means-tested)</t>
    </r>
  </si>
  <si>
    <t>C: 12 out of last 16 months</t>
  </si>
  <si>
    <t>Dzīvokļa pabalsts</t>
  </si>
  <si>
    <r>
      <t>Maintenance guarantee fund (</t>
    </r>
    <r>
      <rPr>
        <i/>
        <sz val="9"/>
        <rFont val="Arial"/>
        <family val="2"/>
      </rPr>
      <t>valsts uztūrlīdzekļi bērniem</t>
    </r>
    <r>
      <rPr>
        <sz val="9"/>
        <rFont val="Arial"/>
        <family val="2"/>
      </rPr>
      <t>)</t>
    </r>
  </si>
  <si>
    <t>Average Wages</t>
  </si>
  <si>
    <t>country_name</t>
  </si>
  <si>
    <t>AW</t>
  </si>
  <si>
    <t>Cyprus</t>
  </si>
  <si>
    <t>Average Wage estimated by the Centre for Tax Policy and Administration. For more information on methodology see the latest Taxing Wages publication.</t>
  </si>
  <si>
    <t>Zavarovanje za primer brezposelnosti</t>
  </si>
  <si>
    <t xml:space="preserve">All, except home care benefit for parent staying at home and the additional child allowance received by a lone parent family minus 20% of the amount of child allowance received for the first child in the first income bracket. </t>
  </si>
  <si>
    <t>- for fourth child, -- from thereon</t>
  </si>
  <si>
    <t>+ up to fifth child, - from thereon</t>
  </si>
  <si>
    <t>+ up to three children, 0 from thereon</t>
  </si>
  <si>
    <t>E + C: 180 days in the year previous to unemployment or UI exhausted or without any unemployment benefit for 180 days</t>
  </si>
  <si>
    <r>
      <t>Additional family benefit (</t>
    </r>
    <r>
      <rPr>
        <i/>
        <sz val="9"/>
        <rFont val="Arial"/>
        <family val="2"/>
      </rPr>
      <t>Abono de família para crianças e jovens</t>
    </r>
    <r>
      <rPr>
        <sz val="9"/>
        <rFont val="Arial"/>
        <family val="2"/>
      </rPr>
      <t>) for school-age children</t>
    </r>
  </si>
  <si>
    <t>6 to 16</t>
  </si>
  <si>
    <t>Pomoc v hmotnej núdzi</t>
  </si>
  <si>
    <t>Housing allowance, health care allowance, activation allowance</t>
  </si>
  <si>
    <t>All except for child allowance, childcare allowance and special allowance</t>
  </si>
  <si>
    <t>age or employment history</t>
  </si>
  <si>
    <t xml:space="preserve">Working families may also receive support through the benefits described in other sheets, but these are not included here unless families receive a larger amount of benefit if their hours or earnings are above a particular level. </t>
  </si>
  <si>
    <r>
      <rPr>
        <i/>
        <sz val="9"/>
        <rFont val="Arial"/>
        <family val="2"/>
      </rPr>
      <t>Grundsicherung für Arbeitssuchende / Arbeitslosengeld II</t>
    </r>
    <r>
      <rPr>
        <sz val="9"/>
        <rFont val="Arial"/>
        <family val="2"/>
      </rPr>
      <t xml:space="preserve"> (ALGII; "Hartz IV")</t>
    </r>
  </si>
  <si>
    <t>Benefit amount equals 1.15 times difference between eligible rent and a proportion of income that varies by income and eligible housing costs</t>
  </si>
  <si>
    <t>0 for second child, + for third and subsequent children</t>
  </si>
  <si>
    <r>
      <t>Tax allowance for lone parents (</t>
    </r>
    <r>
      <rPr>
        <i/>
        <sz val="9"/>
        <rFont val="Arial"/>
        <family val="2"/>
      </rPr>
      <t>Entlastungsbetrag für Alleinerziehende</t>
    </r>
    <r>
      <rPr>
        <sz val="9"/>
        <rFont val="Arial"/>
        <family val="2"/>
      </rPr>
      <t>)</t>
    </r>
  </si>
  <si>
    <t xml:space="preserve"> + for second and subsequent children</t>
  </si>
  <si>
    <r>
      <t>Lone parent supplement to unemployment benefit II (</t>
    </r>
    <r>
      <rPr>
        <i/>
        <sz val="9"/>
        <rFont val="Arial"/>
        <family val="2"/>
      </rPr>
      <t>Grundsicherung für Arbeitssuchende</t>
    </r>
    <r>
      <rPr>
        <sz val="9"/>
        <rFont val="Arial"/>
        <family val="2"/>
      </rPr>
      <t>)</t>
    </r>
  </si>
  <si>
    <t>3.  All amounts are shown on an annualised basis for a couple family (unless the benefit is targeted to lone parents). AW = Average Wage of a full-time private sector employee. Where benefit is delivered through the tax system maximum amounts for non-wastable tax credits and allowances are shown where applicable.</t>
  </si>
  <si>
    <t xml:space="preserve"> + if per child payment more advantageous than lump-sum</t>
  </si>
  <si>
    <t>Fjárhagsaðstoð sveitarfélaga</t>
  </si>
  <si>
    <t>Húsnæðisbætur</t>
  </si>
  <si>
    <t>Notstandshilfe</t>
  </si>
  <si>
    <t>UI: can only be received after exhaustion of UI</t>
  </si>
  <si>
    <t>Previous basic UI benefit</t>
  </si>
  <si>
    <t>G: + if in need (previous UI were below certain level so the reipient received UI supplement)</t>
  </si>
  <si>
    <t>6. CAN: Basic allowance plus shelter allowance.</t>
  </si>
  <si>
    <t>8. HUN: The "regular social benefit" (rendszeres szociális segély) is not considered here as it is for persons incapable of performing work.</t>
  </si>
  <si>
    <r>
      <t>Germany</t>
    </r>
    <r>
      <rPr>
        <vertAlign val="superscript"/>
        <sz val="9"/>
        <rFont val="Arial"/>
        <family val="2"/>
      </rPr>
      <t>(7)</t>
    </r>
  </si>
  <si>
    <t>All other benefits except family benefits and the family supplement to UI and UA</t>
  </si>
  <si>
    <t>Until day 90: 60%</t>
  </si>
  <si>
    <t>From day 91: 30%</t>
  </si>
  <si>
    <t>Naknada za troškove stanovanja</t>
  </si>
  <si>
    <t>Heating supplement (cash or in-kind) for social assistance recipients when heating with wood; supplement for covering energy cost</t>
  </si>
  <si>
    <t>Supplement to family benefit for lone parent</t>
  </si>
  <si>
    <t>n.a</t>
  </si>
  <si>
    <t>Child allowance - N, Stay-at-home subsidy -  T, S (reduced)</t>
  </si>
  <si>
    <t>Allgemeine Wohnbeihilfe</t>
  </si>
  <si>
    <r>
      <t>Varies across regions; housing benefit in Vienna is the difference between the "countable housing expenditure" (</t>
    </r>
    <r>
      <rPr>
        <i/>
        <sz val="9"/>
        <rFont val="Arial"/>
        <family val="2"/>
      </rPr>
      <t>anrechenbarer Wohnungsaufwand</t>
    </r>
    <r>
      <rPr>
        <sz val="9"/>
        <rFont val="Arial"/>
        <family val="2"/>
      </rPr>
      <t>) and the "reasonable housing expenditure" (</t>
    </r>
    <r>
      <rPr>
        <i/>
        <sz val="9"/>
        <rFont val="Arial"/>
        <family val="2"/>
      </rPr>
      <t>zumutbarer Wohnungsaufwand</t>
    </r>
    <r>
      <rPr>
        <sz val="9"/>
        <rFont val="Arial"/>
        <family val="2"/>
      </rPr>
      <t>).</t>
    </r>
  </si>
  <si>
    <r>
      <t>Social assistance rates include 25% of housing support (</t>
    </r>
    <r>
      <rPr>
        <i/>
        <sz val="9"/>
        <rFont val="Arial"/>
        <family val="2"/>
      </rPr>
      <t>Mindestsicherung-Mietbeihilfe</t>
    </r>
    <r>
      <rPr>
        <sz val="9"/>
        <rFont val="Arial"/>
        <family val="2"/>
      </rPr>
      <t>).</t>
    </r>
  </si>
  <si>
    <r>
      <t>Family allowance (</t>
    </r>
    <r>
      <rPr>
        <i/>
        <sz val="9"/>
        <rFont val="Arial"/>
        <family val="2"/>
      </rPr>
      <t>Familienbeihilfe</t>
    </r>
    <r>
      <rPr>
        <sz val="9"/>
        <rFont val="Arial"/>
        <family val="2"/>
      </rPr>
      <t>)</t>
    </r>
  </si>
  <si>
    <t>19 (24)</t>
  </si>
  <si>
    <t xml:space="preserve"> +</t>
  </si>
  <si>
    <r>
      <t>Sole earner’s and sole parent’s tax credit for families with children (</t>
    </r>
    <r>
      <rPr>
        <i/>
        <sz val="9"/>
        <rFont val="Arial"/>
        <family val="2"/>
      </rPr>
      <t>Alleinerzieherabsetzbetrag</t>
    </r>
    <r>
      <rPr>
        <sz val="9"/>
        <rFont val="Arial"/>
        <family val="2"/>
      </rPr>
      <t>)</t>
    </r>
  </si>
  <si>
    <r>
      <t>In-work benefit (</t>
    </r>
    <r>
      <rPr>
        <i/>
        <sz val="9"/>
        <rFont val="Arial"/>
        <family val="2"/>
      </rPr>
      <t>Kombilohnbeihilf</t>
    </r>
    <r>
      <rPr>
        <sz val="9"/>
        <rFont val="Arial"/>
        <family val="2"/>
      </rPr>
      <t>e)</t>
    </r>
  </si>
  <si>
    <t>Depends on previous unemployment benefits: benefit tops up earnings to 130% of previous unemployment benefit (which in turn depends on previous earnings)</t>
  </si>
  <si>
    <t>4. AUT: Benefit as granted by the city of Vienna. The maximum amount is based on the standard assumption of a 70 square metre dwelling. The actual maximum may vary with dwelling size.</t>
  </si>
  <si>
    <r>
      <t>7. DEU: As of 1st January 2005, unemployment assistance and social assistance for persons who are able to work were combined into one benefit, the basic jobseeker's allowance (unemployment benefit II). The benefit is available for persons who are able to work and whose income is not sufficient to secure their own and their family's livelihood. Persons beyond working age or who are not able to work are eligible to social assistance (</t>
    </r>
    <r>
      <rPr>
        <i/>
        <sz val="9"/>
        <rFont val="Arial"/>
        <family val="2"/>
      </rPr>
      <t>Sozialhilfe/Sozialgeld</t>
    </r>
    <r>
      <rPr>
        <sz val="9"/>
        <rFont val="Arial"/>
        <family val="2"/>
      </rPr>
      <t>), which is based on the same basic amounts as unemployment benefit II.</t>
    </r>
  </si>
  <si>
    <t>Benefit withdrawn in two steps, fully withdrawn when family net income per person exceed RON 530/month (15% of AW)</t>
  </si>
  <si>
    <t>Municipal benefit in an extraordinary situation; subsidized provision of school lunches, food, benefits for raising and educating children,etc.</t>
  </si>
  <si>
    <t>ανεργιακό επίδομα</t>
  </si>
  <si>
    <t>Ελάχιστο εγγυημένο εισόδημα</t>
  </si>
  <si>
    <t>Additional support for those receiving GMI. Provided to the beneficiary paying rent or living in an owned house for which they have to pay mortgage interest for the housing loan.</t>
  </si>
  <si>
    <r>
      <t xml:space="preserve">Child benefit </t>
    </r>
    <r>
      <rPr>
        <i/>
        <sz val="9"/>
        <rFont val="Arial"/>
        <family val="2"/>
      </rPr>
      <t>(Επίδομα τέκνου)</t>
    </r>
  </si>
  <si>
    <t>E + C: 12 out of last 30 months</t>
  </si>
  <si>
    <t>Socialinė pašalpa</t>
  </si>
  <si>
    <r>
      <t>Austria</t>
    </r>
    <r>
      <rPr>
        <vertAlign val="superscript"/>
        <sz val="9"/>
        <rFont val="Arial"/>
        <family val="2"/>
      </rPr>
      <t>(5)</t>
    </r>
    <r>
      <rPr>
        <sz val="9"/>
        <rFont val="Arial"/>
        <family val="2"/>
      </rPr>
      <t xml:space="preserve"> </t>
    </r>
  </si>
  <si>
    <t>48-84% (depending on family composition)</t>
  </si>
  <si>
    <t>G: -20% months 12 to 24, 
-30% months 24 to 36, 
-40% months 36 to 48, 
-50% months 48 to 60,
after 60 months paid in kind (the reduction is not applied if labour exchange did not offer a job or unemployed participated in social activity)</t>
  </si>
  <si>
    <t>17(20)</t>
  </si>
  <si>
    <r>
      <t xml:space="preserve">Children's maintenance benefit </t>
    </r>
    <r>
      <rPr>
        <i/>
        <sz val="9"/>
        <rFont val="Arial"/>
        <family val="2"/>
      </rPr>
      <t>(vaikų išlaikymo išmokos)</t>
    </r>
  </si>
  <si>
    <t>Up to 6 months</t>
  </si>
  <si>
    <r>
      <t xml:space="preserve">Guaranteed minimum income benefit </t>
    </r>
    <r>
      <rPr>
        <i/>
        <sz val="9"/>
        <rFont val="Arial"/>
        <family val="2"/>
      </rPr>
      <t>(garantētā minimālā ienākuma pabalsts)</t>
    </r>
  </si>
  <si>
    <t>Net earnings up to net minimum wage for 3 months if starts a new job</t>
  </si>
  <si>
    <t>Low-income working families</t>
  </si>
  <si>
    <t>G: + lump-sum bonus for (S)UP recipients of 1% of AW;+ additional benefit through supplementary allowance if income less social security contributions below 39% of AW</t>
  </si>
  <si>
    <t>Family gross income minus employee social security contributions.</t>
  </si>
  <si>
    <r>
      <t xml:space="preserve">Peruspäiväraha </t>
    </r>
    <r>
      <rPr>
        <sz val="9"/>
        <rFont val="Arial"/>
        <family val="2"/>
      </rPr>
      <t>(basic flat rate benefit)</t>
    </r>
    <r>
      <rPr>
        <i/>
        <sz val="9"/>
        <rFont val="Arial"/>
        <family val="2"/>
      </rPr>
      <t>; Ansiosidonnainen työttömyyspäiväraha</t>
    </r>
    <r>
      <rPr>
        <sz val="9"/>
        <rFont val="Arial"/>
        <family val="2"/>
      </rPr>
      <t xml:space="preserve"> (earnings-related benefit)</t>
    </r>
  </si>
  <si>
    <r>
      <t xml:space="preserve">Maintenance allowance </t>
    </r>
    <r>
      <rPr>
        <i/>
        <sz val="9"/>
        <rFont val="Arial"/>
        <family val="2"/>
      </rPr>
      <t>(Elatustuki)</t>
    </r>
  </si>
  <si>
    <r>
      <t xml:space="preserve">Adjusted unemployment benefit </t>
    </r>
    <r>
      <rPr>
        <i/>
        <sz val="9"/>
        <rFont val="Arial"/>
        <family val="2"/>
      </rPr>
      <t>(Soviteltu työttömyysetuus)</t>
    </r>
  </si>
  <si>
    <t>Zasiłek dla bezrobotnych</t>
  </si>
  <si>
    <t xml:space="preserve"> + for 3rd and each next child</t>
  </si>
  <si>
    <t xml:space="preserve">Social assistance rules are shown in the table "Social Assistance". In some countries, families can continue to receive social assistance benefits after returning to work for a certain period, or receive higher benefit amounts if they work more than a certain number of hours. These provisions are in the "Employment-related provisions" table. </t>
  </si>
  <si>
    <t xml:space="preserve">No benefit paid on days worked. Benefit stopped if claimant works for more than four days in a seven-day period. </t>
  </si>
  <si>
    <r>
      <t xml:space="preserve">Ireland </t>
    </r>
    <r>
      <rPr>
        <vertAlign val="superscript"/>
        <sz val="9"/>
        <rFont val="Arial"/>
        <family val="2"/>
      </rPr>
      <t>(9)</t>
    </r>
  </si>
  <si>
    <t>9. IRL: See also Unemployment Assistance sheet for more details of this programme. For those who are unable to work and are not entitled to any other benefit, another social assistance benefit, Basic Supplementary Welfare Allowance is available. In practice, this is only claimed by asylum seekers, disabled people not entitled to any other benefit and those waiting for another benefit claim to be processed. However, the Rent Supplement in Supplementary Welfare Allowance is available more widely, see Housing Benefits sheet.</t>
  </si>
  <si>
    <t>E + C: 180 days during last 12 months</t>
  </si>
  <si>
    <t xml:space="preserve">Maintenance allowance </t>
  </si>
  <si>
    <t>Youngest child must be under 7</t>
  </si>
  <si>
    <t>Jobseeker's Transitional Payment</t>
  </si>
  <si>
    <t>Youngest child must be under 14</t>
  </si>
  <si>
    <t>Single Person Child Carer Credit</t>
  </si>
  <si>
    <t>Working Family Payment</t>
  </si>
  <si>
    <t>Back to Work Family Dividend</t>
  </si>
  <si>
    <t>Social security benefits including pensions and unemployment insurance (including re-employment allowance), child allowance, child rearing allowance.</t>
  </si>
  <si>
    <t>Provision of benefits for securing housing / Rent assistance to social assistance recipients</t>
  </si>
  <si>
    <t>Beneficiaries must have income and assets below a certain threshold and be looking for work. 
Maximum benefit amount is actual rent paid up to a maximum set regionally. Benefit reduced if income exceeds a threshold.</t>
  </si>
  <si>
    <t>Child rearing allowance</t>
  </si>
  <si>
    <t>Generally 0 but + for third and subsequent children if aged 3-12</t>
  </si>
  <si>
    <t>Indemnité de chômage</t>
  </si>
  <si>
    <t>10. LUX: Social assistance rates include expensive life allowance.</t>
  </si>
  <si>
    <t>Subvention de loyer</t>
  </si>
  <si>
    <r>
      <t>Tax credit for lone-parent (</t>
    </r>
    <r>
      <rPr>
        <i/>
        <sz val="9"/>
        <rFont val="Arial"/>
        <family val="2"/>
      </rPr>
      <t>Crédit d’impôt monoparental</t>
    </r>
    <r>
      <rPr>
        <sz val="9"/>
        <rFont val="Arial"/>
        <family val="2"/>
      </rPr>
      <t>)</t>
    </r>
  </si>
  <si>
    <r>
      <t>Family benefit (</t>
    </r>
    <r>
      <rPr>
        <i/>
        <sz val="9"/>
        <rFont val="Arial"/>
        <family val="2"/>
      </rPr>
      <t>Allocation pour l’avenir des enfants</t>
    </r>
    <r>
      <rPr>
        <sz val="9"/>
        <rFont val="Arial"/>
        <family val="2"/>
      </rPr>
      <t>)</t>
    </r>
  </si>
  <si>
    <t>Arbetslöshetsförsäkring inkomstrelaterad</t>
  </si>
  <si>
    <t>Until week 40: 80%</t>
  </si>
  <si>
    <t>From week 41: 70% 
After 60 weeks, job and development guarantee programme available, which pays 65% of previous earnings</t>
  </si>
  <si>
    <t>Arbetslöshetsförsäkring grundnivå</t>
  </si>
  <si>
    <t xml:space="preserve">E: at least 6 months (with at least 80 hours per month) in last 12, or 480 hours in 6 conituous months (with at least 50 hours per month)
</t>
  </si>
  <si>
    <t>G: + 450 days maximum duration for those with children</t>
  </si>
  <si>
    <t>Unemployment insurance and assistance benefits, housing benefit, family and lone parent benefits</t>
  </si>
  <si>
    <t>G: + child rates generally increase with age</t>
  </si>
  <si>
    <t>G: + withdrawal rate falls from 100% to 75% after 6 months</t>
  </si>
  <si>
    <t>- (children over 16 receive benefits for only 10 months of the year)</t>
  </si>
  <si>
    <t xml:space="preserve"> --</t>
  </si>
  <si>
    <t>2.7 times living minimum (varies by family size)</t>
  </si>
  <si>
    <t>Renta Mínima de Inserción</t>
  </si>
  <si>
    <t>Arbejdsløshedsdagpenge og andre Akasseydelser</t>
  </si>
  <si>
    <t>24 in 3 years (see also column [12])</t>
  </si>
  <si>
    <r>
      <t>Child and youth allowance (</t>
    </r>
    <r>
      <rPr>
        <i/>
        <sz val="9"/>
        <rFont val="Arial"/>
        <family val="2"/>
      </rPr>
      <t>børnechecken</t>
    </r>
    <r>
      <rPr>
        <sz val="9"/>
        <rFont val="Arial"/>
        <family val="2"/>
      </rPr>
      <t>)</t>
    </r>
  </si>
  <si>
    <t>Need to pass two means tests or all household members must be on TANF, State General Assistance or SSI</t>
  </si>
  <si>
    <t>Unemployment insurance and family benefits (TANF)</t>
  </si>
  <si>
    <t>Preferential personal income tax rules for lone parents</t>
  </si>
  <si>
    <t>More generous basic allowance for lone parents</t>
  </si>
  <si>
    <t>Benefit is reduced by 70% of any earnings</t>
  </si>
  <si>
    <t>Participatiewet</t>
  </si>
  <si>
    <t>Benefit for low-income households based on current rent levels and taxable income. Households have to pay part of rent ("standard rent") themselves; benefit covers 100% above this up to a "quality allowance limit" plus 65% of the remainder up to a ceiling/cap.</t>
  </si>
  <si>
    <t>12 to 17</t>
  </si>
  <si>
    <t>Income dependent combination credit for single parents or partner with lowest income</t>
  </si>
  <si>
    <t>Income dependent combination credit - for single parents or partner with lowest income</t>
  </si>
  <si>
    <t>Dagpenger under arbeidsløshet</t>
  </si>
  <si>
    <r>
      <t>Definition of reference earnings</t>
    </r>
    <r>
      <rPr>
        <vertAlign val="superscript"/>
        <sz val="10"/>
        <rFont val="Arial"/>
        <family val="2"/>
      </rPr>
      <t>(2)</t>
    </r>
  </si>
  <si>
    <t>G: - duration 12 months if previous income below certain threshold</t>
  </si>
  <si>
    <t>økonomisk stønad</t>
  </si>
  <si>
    <t>Allowance aims to secure those who have a combination of high housing costs and low income a reasonable accommodation. The benefit depends on the household’s total economic resources and housing costs. It is calculated as 73.7% of the difference between the housing expenses (up to a maximum which varies by region) and the "household's own expense" which depends on taxed income and wealth.</t>
  </si>
  <si>
    <r>
      <t>Child benefit (</t>
    </r>
    <r>
      <rPr>
        <i/>
        <sz val="9"/>
        <rFont val="Arial"/>
        <family val="2"/>
      </rPr>
      <t>barnetrygd</t>
    </r>
    <r>
      <rPr>
        <sz val="9"/>
        <rFont val="Arial"/>
        <family val="2"/>
      </rPr>
      <t>)</t>
    </r>
  </si>
  <si>
    <t>Recipient of Transitional benefit for lone parents</t>
  </si>
  <si>
    <r>
      <t>Child benefit (</t>
    </r>
    <r>
      <rPr>
        <i/>
        <sz val="9"/>
        <rFont val="Arial"/>
        <family val="2"/>
      </rPr>
      <t>barnetrygd</t>
    </r>
    <r>
      <rPr>
        <sz val="9"/>
        <rFont val="Arial"/>
        <family val="2"/>
      </rPr>
      <t>) - young child supplement for lone parents</t>
    </r>
  </si>
  <si>
    <r>
      <t>Child benefit (</t>
    </r>
    <r>
      <rPr>
        <i/>
        <sz val="9"/>
        <rFont val="Arial"/>
        <family val="2"/>
      </rPr>
      <t>barnetrygd</t>
    </r>
    <r>
      <rPr>
        <sz val="9"/>
        <rFont val="Arial"/>
        <family val="2"/>
      </rPr>
      <t>) - supplement for lone parents</t>
    </r>
  </si>
  <si>
    <r>
      <t>Transitional benefit for lone parents (</t>
    </r>
    <r>
      <rPr>
        <i/>
        <sz val="9"/>
        <rFont val="Arial"/>
        <family val="2"/>
      </rPr>
      <t>overgangsstønad</t>
    </r>
    <r>
      <rPr>
        <sz val="9"/>
        <rFont val="Arial"/>
        <family val="2"/>
      </rPr>
      <t>)</t>
    </r>
  </si>
  <si>
    <r>
      <t>Advance payments of child maintenance for lone parents (</t>
    </r>
    <r>
      <rPr>
        <i/>
        <sz val="9"/>
        <rFont val="Arial"/>
        <family val="2"/>
      </rPr>
      <t>bidragsforskott</t>
    </r>
    <r>
      <rPr>
        <sz val="9"/>
        <rFont val="Arial"/>
        <family val="2"/>
      </rPr>
      <t>)</t>
    </r>
  </si>
  <si>
    <r>
      <t>Cash benefit for families with small children/ Home care benefit (</t>
    </r>
    <r>
      <rPr>
        <i/>
        <sz val="9"/>
        <rFont val="Arial"/>
        <family val="2"/>
      </rPr>
      <t>kontantstøtte</t>
    </r>
    <r>
      <rPr>
        <sz val="9"/>
        <rFont val="Arial"/>
        <family val="2"/>
      </rPr>
      <t>)</t>
    </r>
  </si>
  <si>
    <t>13-23 months</t>
  </si>
  <si>
    <r>
      <t>Tax allowance for lone parents (</t>
    </r>
    <r>
      <rPr>
        <i/>
        <sz val="9"/>
        <rFont val="Arial"/>
        <family val="2"/>
      </rPr>
      <t>særfradrag for enslige forsørgere</t>
    </r>
    <r>
      <rPr>
        <sz val="9"/>
        <rFont val="Arial"/>
        <family val="2"/>
      </rPr>
      <t>)</t>
    </r>
  </si>
  <si>
    <t>Housing alllowance for social assistance recipients</t>
  </si>
  <si>
    <t>Επιχορήγηση για το ενοίκιο και τους τόκους στεγαστικού δανείου</t>
  </si>
  <si>
    <r>
      <t xml:space="preserve">Single Parent Benefit </t>
    </r>
    <r>
      <rPr>
        <i/>
        <sz val="9"/>
        <rFont val="Arial"/>
        <family val="2"/>
      </rPr>
      <t>(Επίδομα μονογονεϊκής οικογένειας)</t>
    </r>
  </si>
  <si>
    <r>
      <t>Social assistance (</t>
    </r>
    <r>
      <rPr>
        <i/>
        <sz val="9"/>
        <rFont val="Arial"/>
        <family val="2"/>
      </rPr>
      <t>Revenu Solidarité Active</t>
    </r>
    <r>
      <rPr>
        <sz val="9"/>
        <rFont val="Arial"/>
        <family val="2"/>
      </rPr>
      <t xml:space="preserve"> (RSA))</t>
    </r>
  </si>
  <si>
    <t>Unemployment, housing and most family benefits</t>
  </si>
  <si>
    <r>
      <t>Large family allowance (</t>
    </r>
    <r>
      <rPr>
        <i/>
        <sz val="9"/>
        <rFont val="Arial"/>
        <family val="2"/>
      </rPr>
      <t>Complément Familial</t>
    </r>
    <r>
      <rPr>
        <sz val="9"/>
        <rFont val="Arial"/>
        <family val="2"/>
      </rPr>
      <t xml:space="preserve"> (CF))</t>
    </r>
  </si>
  <si>
    <t>G: +/- lower benefit rates but higher income disregards for those aged under 22 on YA.
G: + single people aged 60 or over entitled to higher rate after receiving support for 9 consecutive months.</t>
  </si>
  <si>
    <t>For end of year supplement, children must be up to date with their early childhood vaccinations, on a catch-up schedule according to the current Australian Immunisation Handbook, or have a valid exemption.</t>
  </si>
  <si>
    <t>Werklooshiedswet;
Toeslagenwet;
Inkomensvoorziening Oudere Werklozen</t>
  </si>
  <si>
    <t>lump sum payment</t>
  </si>
  <si>
    <r>
      <t xml:space="preserve">Unemployment benefit for long-term unemployed </t>
    </r>
    <r>
      <rPr>
        <i/>
        <sz val="9"/>
        <rFont val="Arial"/>
        <family val="2"/>
      </rPr>
      <t>(Επίδομα Μακροχρονίως Ανέργων)</t>
    </r>
  </si>
  <si>
    <r>
      <t>Special aid after the end of payment of the unemployment allowance</t>
    </r>
    <r>
      <rPr>
        <i/>
        <sz val="9"/>
        <rFont val="Arial"/>
        <family val="2"/>
      </rPr>
      <t xml:space="preserve"> (Ειδικό βοήθημα μετά τη Λήξη της Τακτικής Επιδοτησης Ανεργίας)</t>
    </r>
  </si>
  <si>
    <t>5. GRC: Employers in some sectors grant an additional 5% of work income per worker per child and 10% for the spouse (independent of her income).</t>
  </si>
  <si>
    <t>17(23)</t>
  </si>
  <si>
    <t>T (under conditions)</t>
  </si>
  <si>
    <t>15-35% of net earnings (depending on family composition) + 10-23% (implicit disregards provided by the formula)</t>
  </si>
  <si>
    <t>E + C: 13 weeks of contributions in the 4 years preceding the unemployment event and at least 30 days of work in the 12 months prior to the beginning of the period of unemployment</t>
  </si>
  <si>
    <t>Nuova Assucurazione Sociale per l'Impiego (NASPI)</t>
  </si>
  <si>
    <r>
      <t>Natality allowance (</t>
    </r>
    <r>
      <rPr>
        <i/>
        <sz val="9"/>
        <rFont val="Arial"/>
        <family val="2"/>
      </rPr>
      <t>bonus bebé</t>
    </r>
    <r>
      <rPr>
        <sz val="9"/>
        <rFont val="Arial"/>
        <family val="2"/>
      </rPr>
      <t>)</t>
    </r>
  </si>
  <si>
    <t>Assurance Chômage / Arbeitslosenversicherung</t>
  </si>
  <si>
    <t>10-20 depending on income (see also column [13])</t>
  </si>
  <si>
    <t>Requirement to make use of all other private and/or public entitlements as a primary source of support</t>
  </si>
  <si>
    <t>Aide sociale / Sozialhilfe / Assistenza sociale</t>
  </si>
  <si>
    <r>
      <t>Family benefit (</t>
    </r>
    <r>
      <rPr>
        <i/>
        <sz val="9"/>
        <rFont val="Arial"/>
        <family val="2"/>
      </rPr>
      <t>Allocation familiales / Familienzulagen</t>
    </r>
    <r>
      <rPr>
        <sz val="9"/>
        <rFont val="Arial"/>
        <family val="2"/>
      </rPr>
      <t>)</t>
    </r>
  </si>
  <si>
    <t>15 (25)</t>
  </si>
  <si>
    <t>The amount of benefit is calculated by "credit score system" granting credit points of entitlement according to several parameters: family situation, number of children in the family, number of siblings of each parent, other benefits given to the family, age, income, benefits for particular groups, and living areas.</t>
  </si>
  <si>
    <t xml:space="preserve"> - </t>
  </si>
  <si>
    <t>Single parent tax credit</t>
  </si>
  <si>
    <t xml:space="preserve">Lone-parent family or family with 4 or more children that receives income support
</t>
  </si>
  <si>
    <t>1 month (except if didn't meet contributions requirements for UI)</t>
  </si>
  <si>
    <t>From month 4, benefit amount reduced by 3% per month</t>
  </si>
  <si>
    <t>50 to 80% depending on level of reference earnings</t>
  </si>
  <si>
    <t>Until month 3: 60%</t>
  </si>
  <si>
    <t>Weekly benefit rate is 4.1% of reference earnings (see column [8])</t>
  </si>
  <si>
    <t>60% of basic insurable earnings plus 50% in excess of this amount</t>
  </si>
  <si>
    <t xml:space="preserve">Gross </t>
  </si>
  <si>
    <t>None permitted, but lump-sum payment of 50% of remaining benefit claim (generally 6 months) if recipient takes up work after at least 3 months of unemployment</t>
  </si>
  <si>
    <t>Taking up part-time work paid less than the full-time national minimum wage may entitle inidviduals to 50% of their remaining unemployment insurance benefit</t>
  </si>
  <si>
    <t>When taking up work, 30% of benefit is paid for the rest of the entitlement period</t>
  </si>
  <si>
    <t>G: - shorter benefit duration if any gaps in employment record in last 6 years</t>
  </si>
  <si>
    <t>G: - lower benefit rate if aged under 25</t>
  </si>
  <si>
    <t xml:space="preserve">G: - duration from 5 to 12 months depending on the number of days worked during previous 14 months </t>
  </si>
  <si>
    <t xml:space="preserve">G: - lower maximum amount for those aged under 30;
G: + higher maximum amount for those aged 45-59;
G: +/- due to different parameters for 60 to 65 year olds; lump sum payments for 65+ year olds;
G: - shorter benefit durations for those aged under 35 and those aged 60-64;
G: + longer benefit durations for those aged 45-59. </t>
  </si>
  <si>
    <t>G: +/- duration from 3 to 15 months depending on employment history; 
G: + extended benefit duration if within 5 years of retirement age with at least 32 years of contributions</t>
  </si>
  <si>
    <t>G: + family supplement for those with children</t>
  </si>
  <si>
    <t>G: + replacement rate 67% of net earnings if at least one dependent child</t>
  </si>
  <si>
    <t>G: + supplement for each dependent child; 
G: + supplement for dependent spouse</t>
  </si>
  <si>
    <t>G: + 85% replacement rate for those with dependent children</t>
  </si>
  <si>
    <t>E: + 5 days waiting period if maintaining children &lt; 25
G: + replacement rate of 80% and higher maximum benefit for those with dependent children aged under 25</t>
  </si>
  <si>
    <t>G: + higher flat rate for households of two or more</t>
  </si>
  <si>
    <t>G: + higher allowance during participation in employment measures</t>
  </si>
  <si>
    <t>G: + longer benefit duration for those deemed difficult to re-employ;
E: - longer contribution requirement for those not unemployed as a result of bankruptcy or dismissal; 
G: - shorter benefit duration for those not unemployed as a result of bankruptcy or dismissal</t>
  </si>
  <si>
    <r>
      <t xml:space="preserve">Unemployment payments via </t>
    </r>
    <r>
      <rPr>
        <i/>
        <sz val="9"/>
        <rFont val="Arial"/>
        <family val="2"/>
      </rPr>
      <t>Newstart Allowance</t>
    </r>
    <r>
      <rPr>
        <sz val="9"/>
        <rFont val="Arial"/>
        <family val="2"/>
      </rPr>
      <t xml:space="preserve"> (NSA) if 22 or older and </t>
    </r>
    <r>
      <rPr>
        <i/>
        <sz val="9"/>
        <rFont val="Arial"/>
        <family val="2"/>
      </rPr>
      <t>Youth Allowance</t>
    </r>
    <r>
      <rPr>
        <sz val="9"/>
        <rFont val="Arial"/>
        <family val="2"/>
      </rPr>
      <t xml:space="preserve"> (YA) if under 22; </t>
    </r>
    <r>
      <rPr>
        <i/>
        <sz val="9"/>
        <rFont val="Arial"/>
        <family val="2"/>
      </rPr>
      <t>Parenting Payment (couple)</t>
    </r>
    <r>
      <rPr>
        <sz val="9"/>
        <rFont val="Arial"/>
        <family val="2"/>
      </rPr>
      <t xml:space="preserve"> with one member caring for a child under six similar to NSA</t>
    </r>
  </si>
  <si>
    <r>
      <t>Special aid for unemployed after a three-month registration (</t>
    </r>
    <r>
      <rPr>
        <i/>
        <sz val="9"/>
        <rFont val="Arial"/>
        <family val="2"/>
      </rPr>
      <t>Ειδικό βοήθημα μετά από τρίμηνη παραμονή στο Μητρώο Ανέργων</t>
    </r>
    <r>
      <rPr>
        <sz val="9"/>
        <rFont val="Arial"/>
        <family val="2"/>
      </rPr>
      <t>)</t>
    </r>
  </si>
  <si>
    <t>Prestaciones por desempleo de nivel asistencial</t>
  </si>
  <si>
    <t>UI: 45-65 years old; UI and UA exhausted or not eligible; registered unemployed for 12 months; other</t>
  </si>
  <si>
    <t>3 payments 3 months apart</t>
  </si>
  <si>
    <t>Flat rate of EUR 200 per month</t>
  </si>
  <si>
    <t>Flat rate of SEK 365/day</t>
  </si>
  <si>
    <t>E: - not available for under 20 year olds</t>
  </si>
  <si>
    <t>G: + more generous rate for those with children; lone parents may opt for Parenting Payment (Single) instead (see table on family benefits);
G: - individual rate lower for those in couples than for single people</t>
  </si>
  <si>
    <t xml:space="preserve">G: + benefit amount increased by 10% for every dependent family member </t>
  </si>
  <si>
    <t>G: + supplement for each dependent child; 
G: + for dependent spouse.</t>
  </si>
  <si>
    <t>G: + higher rate for couples</t>
  </si>
  <si>
    <t>E: - not available to those aged under 45</t>
  </si>
  <si>
    <t>25 (except if has dependents or unable to work)</t>
  </si>
  <si>
    <t>21 (except in exceptional circumstances)</t>
  </si>
  <si>
    <t>28 (unless married, a single parent, an orhpan, or disabled)</t>
  </si>
  <si>
    <t>Those under 22 receiving YA without upper secondary education must be participating in full-time training or education</t>
  </si>
  <si>
    <t>Have to sign a Participation Agreement that sets out employment assistance activities (e.g. looking for work, improving skills)</t>
  </si>
  <si>
    <t>Must be available for labor market/ activation measures (see also column [22])</t>
  </si>
  <si>
    <t>Behavioural requirements may be applied also to other adults in the household</t>
  </si>
  <si>
    <t>Job-search and work-availability obligations extend also to other adult household members unless they are in particular and certifiable circumstances (e.g. carers, disabled, in full-time education)</t>
  </si>
  <si>
    <t>If employed must work more than 2/3 of standard working hours (though in some cases part-time is allowed)</t>
  </si>
  <si>
    <t xml:space="preserve">Job-search and work-availability obligations extend also to claimant's spouse </t>
  </si>
  <si>
    <t>Each family member has to be active in supporting themselves</t>
  </si>
  <si>
    <t>Partner and parents of the claimant are required to support the claimant as needed if possible</t>
  </si>
  <si>
    <t xml:space="preserve">Unemployed must register with the territorial unit of the Employment Agency at least 6 months before filing application for social support and not have refused job offers </t>
  </si>
  <si>
    <t>Municipal with national guidelines</t>
  </si>
  <si>
    <t>Energy Supplement</t>
  </si>
  <si>
    <t>Allowances for housing and regularly-recurring special needs</t>
  </si>
  <si>
    <t xml:space="preserve">Housing allowance </t>
  </si>
  <si>
    <r>
      <t>Housing benefit provided through subsistence benefit (</t>
    </r>
    <r>
      <rPr>
        <i/>
        <sz val="9"/>
        <rFont val="Arial"/>
        <family val="2"/>
      </rPr>
      <t>toimetulekutoetus</t>
    </r>
    <r>
      <rPr>
        <sz val="9"/>
        <rFont val="Arial"/>
        <family val="2"/>
      </rPr>
      <t>)</t>
    </r>
  </si>
  <si>
    <t>Additional allowances for housing and healthcare expenses.</t>
  </si>
  <si>
    <t xml:space="preserve">Holiday allowance </t>
  </si>
  <si>
    <t>Housing allowance, heating and electricity allowance</t>
  </si>
  <si>
    <t>Housing supplement</t>
  </si>
  <si>
    <t>Housing allowance, supplements for extraordinary needs, care and assistance (including childcare) and disability.</t>
  </si>
  <si>
    <t>Earnings fully disregarded for first 2 months after job entry (if signed social contract)</t>
  </si>
  <si>
    <t xml:space="preserve">No, but benefit increased by 28% if claimant working 60 to 128 hours per month, 56% if more than 128 hours; by 25% for another adult if they work 60 to 128 hours per month and 49% if more than 128 hours </t>
  </si>
  <si>
    <t>100% 
For those entering work, 0% in months 1-2 and 50% in months 3-6</t>
  </si>
  <si>
    <t xml:space="preserve">Benefit not reduced for first three months of new employment </t>
  </si>
  <si>
    <r>
      <t xml:space="preserve">0% in first three months of new employment (see earnings disregard)
Generally those in work receive the </t>
    </r>
    <r>
      <rPr>
        <i/>
        <sz val="9"/>
        <rFont val="Arial"/>
        <family val="2"/>
      </rPr>
      <t>prime d'activité</t>
    </r>
    <r>
      <rPr>
        <sz val="9"/>
        <rFont val="Arial"/>
        <family val="2"/>
      </rPr>
      <t xml:space="preserve"> rather than RSA, see employment-related provisions sheet</t>
    </r>
  </si>
  <si>
    <t>60% for lone parents and those aged 55 or over
62.5% for couples aged under 55 with one child
67.5% for couples aged under 55 with two or more children
70% for those without children aged under 55</t>
  </si>
  <si>
    <t>100%
For those entering work, 0% for first 2 months (see column [16])</t>
  </si>
  <si>
    <t>100% for first six months, then 75%</t>
  </si>
  <si>
    <t>G: - lower benefit amount for those aged under 30</t>
  </si>
  <si>
    <t>G: + higher rates for older children</t>
  </si>
  <si>
    <t>G: - lower rates for those aged under 26 without children</t>
  </si>
  <si>
    <t>G: + more generous rates and means test for those aged 55 or over;
G: - for those aged under 25</t>
  </si>
  <si>
    <t>G: + higher rates for those aged under 20 or over 40</t>
  </si>
  <si>
    <t>G: - lower rates for those aged under 21</t>
  </si>
  <si>
    <t>G: - lower benefit rate for those aged under 25 without children or not fulfilling integration or work requirements</t>
  </si>
  <si>
    <t>G: + higher rate for children aged over 14</t>
  </si>
  <si>
    <t>G: + single people aged 60 or over entitled to higher rate after receiving support for 9 continuous months</t>
  </si>
  <si>
    <t>G: - lower rate for second and subsequent children</t>
  </si>
  <si>
    <r>
      <t>Housing benefit for recipients of unemployment benefit II (</t>
    </r>
    <r>
      <rPr>
        <i/>
        <sz val="9"/>
        <rFont val="Arial"/>
        <family val="2"/>
      </rPr>
      <t>Kosten der Unterkunft</t>
    </r>
    <r>
      <rPr>
        <sz val="9"/>
        <rFont val="Arial"/>
        <family val="2"/>
      </rPr>
      <t>)</t>
    </r>
  </si>
  <si>
    <r>
      <t>Child allowance (</t>
    </r>
    <r>
      <rPr>
        <i/>
        <sz val="9"/>
        <rFont val="Arial"/>
        <family val="2"/>
      </rPr>
      <t>קצבת ילדים</t>
    </r>
    <r>
      <rPr>
        <sz val="9"/>
        <rFont val="Arial"/>
        <family val="2"/>
      </rPr>
      <t>)</t>
    </r>
  </si>
  <si>
    <r>
      <t>Child allowance (</t>
    </r>
    <r>
      <rPr>
        <i/>
        <sz val="9"/>
        <rFont val="Arial"/>
        <family val="2"/>
      </rPr>
      <t>קצבת ילדים</t>
    </r>
    <r>
      <rPr>
        <sz val="9"/>
        <rFont val="Arial"/>
        <family val="2"/>
      </rPr>
      <t>) - Large family supplement</t>
    </r>
  </si>
  <si>
    <r>
      <t>Study grant (</t>
    </r>
    <r>
      <rPr>
        <i/>
        <sz val="9"/>
        <rFont val="Arial"/>
        <family val="2"/>
      </rPr>
      <t>מענק לימודים</t>
    </r>
    <r>
      <rPr>
        <sz val="9"/>
        <rFont val="Arial"/>
        <family val="2"/>
      </rPr>
      <t>)</t>
    </r>
  </si>
  <si>
    <r>
      <t xml:space="preserve">Child benefit (based on law </t>
    </r>
    <r>
      <rPr>
        <i/>
        <sz val="9"/>
        <rFont val="Arial"/>
        <family val="2"/>
      </rPr>
      <t>Algemene Kinderbijslagwet</t>
    </r>
    <r>
      <rPr>
        <sz val="9"/>
        <rFont val="Arial"/>
        <family val="2"/>
      </rPr>
      <t>, AKW)</t>
    </r>
  </si>
  <si>
    <r>
      <t xml:space="preserve">Additional child benefit (based on law </t>
    </r>
    <r>
      <rPr>
        <i/>
        <sz val="9"/>
        <rFont val="Arial"/>
        <family val="2"/>
      </rPr>
      <t>Wet op het kindgebonden budget</t>
    </r>
    <r>
      <rPr>
        <sz val="9"/>
        <rFont val="Arial"/>
        <family val="2"/>
      </rPr>
      <t>, WKB)</t>
    </r>
  </si>
  <si>
    <r>
      <t xml:space="preserve">Additional child benefit (based on law </t>
    </r>
    <r>
      <rPr>
        <i/>
        <sz val="9"/>
        <rFont val="Arial"/>
        <family val="2"/>
      </rPr>
      <t>Wet op het kindgebonden budget</t>
    </r>
    <r>
      <rPr>
        <sz val="9"/>
        <rFont val="Arial"/>
        <family val="2"/>
      </rPr>
      <t>, WKB) - supplement for children between 12 and 17 years</t>
    </r>
  </si>
  <si>
    <r>
      <t xml:space="preserve">Additional child benefit (based on law </t>
    </r>
    <r>
      <rPr>
        <i/>
        <sz val="9"/>
        <rFont val="Arial"/>
        <family val="2"/>
      </rPr>
      <t>Wet op het kindgebonden budget</t>
    </r>
    <r>
      <rPr>
        <sz val="9"/>
        <rFont val="Arial"/>
        <family val="2"/>
      </rPr>
      <t>, WKB) - supplement for lone parents</t>
    </r>
  </si>
  <si>
    <r>
      <t>Family benefit (</t>
    </r>
    <r>
      <rPr>
        <i/>
        <sz val="9"/>
        <rFont val="Arial"/>
        <family val="2"/>
      </rPr>
      <t>Месечна помощ за дете до завършване на средно образование, но не повече от 20-
годишна възраст</t>
    </r>
    <r>
      <rPr>
        <sz val="9"/>
        <rFont val="Arial"/>
        <family val="2"/>
      </rPr>
      <t>)</t>
    </r>
  </si>
  <si>
    <r>
      <t>First grade school allowance (</t>
    </r>
    <r>
      <rPr>
        <i/>
        <sz val="9"/>
        <rFont val="Arial"/>
        <family val="2"/>
      </rPr>
      <t>Целева помощ за ученици</t>
    </r>
    <r>
      <rPr>
        <sz val="9"/>
        <rFont val="Arial"/>
        <family val="2"/>
      </rPr>
      <t>)</t>
    </r>
  </si>
  <si>
    <r>
      <t>Subsidy for stay-at-home parent (</t>
    </r>
    <r>
      <rPr>
        <i/>
        <sz val="9"/>
        <rFont val="Arial"/>
        <family val="2"/>
      </rPr>
      <t>Novčana pomoć za roditelja odgojitelja</t>
    </r>
    <r>
      <rPr>
        <sz val="9"/>
        <rFont val="Arial"/>
        <family val="2"/>
      </rPr>
      <t>), Zagreb</t>
    </r>
  </si>
  <si>
    <t>6 to 15</t>
  </si>
  <si>
    <t>3 to 20</t>
  </si>
  <si>
    <t xml:space="preserve">6 to 18 </t>
  </si>
  <si>
    <t>At least 3 children</t>
  </si>
  <si>
    <t>18 (no limit)</t>
  </si>
  <si>
    <t>Activity tested if youngest child aged 6 or over</t>
  </si>
  <si>
    <t>Recipient of family allowance</t>
  </si>
  <si>
    <t xml:space="preserve">Family must be recipient of unemployment benefit II, social assistance in case of old-age or partial reduction in earning capacity, supplementary child allowance or housing allowance;
Child must attend a general school or vocational training school </t>
  </si>
  <si>
    <t>Lone parent
Must meet with PES to identify and access supports to prepare for full-time employment</t>
  </si>
  <si>
    <t>At least 3 children
Must receive subsistence benefit (for example income support or alimony payments)</t>
  </si>
  <si>
    <t>At least 4 children</t>
  </si>
  <si>
    <t>Recipient of child benefit with income below a certain ceiling</t>
  </si>
  <si>
    <t>Lone parent receiving child benefit with income below a certain ceiling</t>
  </si>
  <si>
    <t>Lone parent
Maintenance from absent parent not paid or paid late</t>
  </si>
  <si>
    <t>If absent parent has not paid alimony for more than 3 months in a row</t>
  </si>
  <si>
    <t>One parent has no regular employment and takes care of at least 3 children; children do not attend kindergarten</t>
  </si>
  <si>
    <t>no benefit for only child, + for second and third child, 0 thereafter</t>
  </si>
  <si>
    <t>+ for second and third child, 0 thereafter</t>
  </si>
  <si>
    <t>+ for 2nd to 4th child, -- thereafter</t>
  </si>
  <si>
    <t>0 for third and fourth child, -- thereafter</t>
  </si>
  <si>
    <t>+ for up to 4 children, 0 thereafter</t>
  </si>
  <si>
    <t>Zero</t>
  </si>
  <si>
    <t>Yes, same as under unemployment benefit II (see unemployment assistance and social assistance tables)</t>
  </si>
  <si>
    <t>Benefit fully withdrawn when income exceeds threshold</t>
  </si>
  <si>
    <t>Supplement withdrawn if income exceeds threshold</t>
  </si>
  <si>
    <t>100% for the means-test against the income of children aged 19 or over</t>
  </si>
  <si>
    <t>Benefit fully withdrawn when net taxable income exceeds a threshold which varies by family size</t>
  </si>
  <si>
    <t>Benefit withdrawn if eligibility conditions not fulfuilled</t>
  </si>
  <si>
    <t>Yes, same as under unemployment benefit II (see unemployment assistance and social assistance sheets)</t>
  </si>
  <si>
    <t>Varies by family size and income</t>
  </si>
  <si>
    <t>See social assistancesheet</t>
  </si>
  <si>
    <t>See social assistance sheet</t>
  </si>
  <si>
    <t>Varies by number of children:
15.98% for one-child families
21.06% if two or more children</t>
  </si>
  <si>
    <t>Benefit fully withdrawn if gross income per family member above threshold</t>
  </si>
  <si>
    <r>
      <t>In-work benefit (</t>
    </r>
    <r>
      <rPr>
        <i/>
        <sz val="9"/>
        <rFont val="Arial"/>
        <family val="2"/>
      </rPr>
      <t>prime d'activité</t>
    </r>
    <r>
      <rPr>
        <sz val="9"/>
        <rFont val="Arial"/>
        <family val="2"/>
      </rPr>
      <t>)</t>
    </r>
  </si>
  <si>
    <r>
      <t>In work benefit (</t>
    </r>
    <r>
      <rPr>
        <i/>
        <sz val="9"/>
        <rFont val="Arial"/>
        <family val="2"/>
      </rPr>
      <t>Beneficcju ta’ Waqt l-Impjieg</t>
    </r>
    <r>
      <rPr>
        <sz val="9"/>
        <rFont val="Arial"/>
        <family val="2"/>
      </rPr>
      <t>) paid to families, depends on household composition and income</t>
    </r>
  </si>
  <si>
    <t>Reduced social security contribution rates</t>
  </si>
  <si>
    <t>Re-employment provision in unemployment benefit</t>
  </si>
  <si>
    <t>Reduced social security contributions</t>
  </si>
  <si>
    <t>Re-employment provision in social assistance benefit</t>
  </si>
  <si>
    <t xml:space="preserve">Targeted wastable tax credit </t>
  </si>
  <si>
    <t>Higher rates of social assistance benefit</t>
  </si>
  <si>
    <t xml:space="preserve">Long-term unemployed lone parents taking up at least half-time work on a permanent contract </t>
  </si>
  <si>
    <t>Low earners</t>
  </si>
  <si>
    <t>Social assistance recipients starting employment (assistance activity) or training, or changing employment</t>
  </si>
  <si>
    <t>Unemployment benefit (UB) recipients moving into half-time work</t>
  </si>
  <si>
    <t xml:space="preserve">Families moving into work and off an unemployment benefit or One Parent Family Payment </t>
  </si>
  <si>
    <t>Low-income working families with children</t>
  </si>
  <si>
    <t>Social assistance benefit recipients moving into work</t>
  </si>
  <si>
    <t>Working lone parents and partner with lowest income in two-earner couple with children</t>
  </si>
  <si>
    <t xml:space="preserve">Working low-income lone parents </t>
  </si>
  <si>
    <t>Unemployment insurance benefit recipients moving into work and earning less than unemployment benefit</t>
  </si>
  <si>
    <t>Working social assistance benefit recipients</t>
  </si>
  <si>
    <t>Supplement to social assistance benefit</t>
  </si>
  <si>
    <t>Activation allowance in social assistance</t>
  </si>
  <si>
    <t>Benefit fully withdrawn if earnings exceed threshold</t>
  </si>
  <si>
    <t>Up to 12 months</t>
  </si>
  <si>
    <t>Low-earning families</t>
  </si>
  <si>
    <t>UI benefit recipients moving into work</t>
  </si>
  <si>
    <t>Unemployment benefit recipients moving into work</t>
  </si>
  <si>
    <t>Yes, child aged up to 11</t>
  </si>
  <si>
    <t>Yes, at least 20 hours per week (10 for those with severe disability)</t>
  </si>
  <si>
    <t>Yes, at least half-time</t>
  </si>
  <si>
    <t>Yes, at least 19 hours per week or 38 hours per fortnight</t>
  </si>
  <si>
    <t>Yes, at least 20 hours per week</t>
  </si>
  <si>
    <t>Yes, less than full-time</t>
  </si>
  <si>
    <t>Yes, at least minimum monthly wage or minimum hourly pay</t>
  </si>
  <si>
    <t>Previous unemployment insurance or assistance benefit</t>
  </si>
  <si>
    <t>Retain previous social assistance benefit amount for 3 months</t>
  </si>
  <si>
    <t>50% of previous social assistance benefit</t>
  </si>
  <si>
    <t>During first year of employment out of unemployment 50% of earnings from the new job are disregarded rather than 20%</t>
  </si>
  <si>
    <t>7.65% without children;
15.98% with one child;
21.06% with 2 or more children</t>
  </si>
  <si>
    <t>7.65% without children;
34% with one child;
40% with 2 children;
45% with 3 or more children</t>
  </si>
  <si>
    <t>Not paid if earnings higher than twice the monthly minimum wage or the minimum hourly pay</t>
  </si>
  <si>
    <t>G: + longer benefit duration for those aged 50 or over (up to 11 months)</t>
  </si>
  <si>
    <t>G: + duration longer for those with 25+ years of contribution (up to 12 months), and those aged over 50 with 25+ years of contributions (up to 25 months); 
G: - duration shorted for those with less than 15 years of contributions;
E: + shorter contribution requirement for those aged under 30</t>
  </si>
  <si>
    <t>50% of remaining UI entitlements paid as a lump sum or pro-rata until the expire of UI.</t>
  </si>
  <si>
    <t>Minimum wage</t>
  </si>
  <si>
    <t>Re-employment allowance (Обезщетение за безработица на лица наети на непълно работно време)</t>
  </si>
  <si>
    <t xml:space="preserve">Reduced basic unemployment allowance </t>
  </si>
  <si>
    <t>Unemployment benefit recipients moving into work and working less than 20 hours per week.</t>
  </si>
  <si>
    <t>Yes, less than 20 hours per week</t>
  </si>
  <si>
    <t>Benefit entitlements reduced 1 to 1 with any additional earnings from employment</t>
  </si>
  <si>
    <t>gross personal earnings from employment</t>
  </si>
  <si>
    <t>UI</t>
  </si>
  <si>
    <t>When earnings reach the level of UI entitlements.</t>
  </si>
  <si>
    <t>Re-employment allowance (Saisyusyoku teate)</t>
  </si>
  <si>
    <t>Unemployment benefit recipients moving into work with at least one third of unemployment benefit entitlement remaining and working more than 20 hours per week</t>
  </si>
  <si>
    <t>With more than 2/3 (1/3) of the benefit duration remaining: 70% (60%) of the remaining benefit.</t>
  </si>
  <si>
    <t>Into-work benefit (lump sum when moving into work)</t>
  </si>
  <si>
    <t>Yes, the benefit is paid until UI expires</t>
  </si>
  <si>
    <t>Employee bonus</t>
  </si>
  <si>
    <t>Low-paid employees</t>
  </si>
  <si>
    <t>Personal taxable income</t>
  </si>
  <si>
    <t>Social Assistance benefit recipients who move into work</t>
  </si>
  <si>
    <t>gross earnings from employment</t>
  </si>
  <si>
    <t>Tapering of Benefits scheme</t>
  </si>
  <si>
    <t>Social assistance and unemployment benefit recipients who take up employment</t>
  </si>
  <si>
    <t>Yes, the benefit expires after 3 years</t>
  </si>
  <si>
    <t>65% of out of work benefit during the first year. 45% during the secon year, and 25% during the third year.</t>
  </si>
  <si>
    <t>Eligibility only for those with earnings below the full-time minimum wage</t>
  </si>
  <si>
    <t>Yes, eligibility only for those with earnings equal or above the full-time minimum wage</t>
  </si>
  <si>
    <t>Unemployment Indemnity (Indemnizatia de somaj)</t>
  </si>
  <si>
    <t>Yes, until the unemployment benefit expires</t>
  </si>
  <si>
    <t>Guaranteed minimum income (Schema privind venitul minim garantat</t>
  </si>
  <si>
    <t>Families on social assistance where at least one household member works</t>
  </si>
  <si>
    <t>15% of social assistance benefit entitlements</t>
  </si>
  <si>
    <t>When family income is above the SA eligibility threshold.</t>
  </si>
  <si>
    <t>E+C: 468 days in 33 months</t>
  </si>
  <si>
    <t>E + C: 420 hours in 1 year (required hours of employment is a function of the regional monthly unemployment rate)</t>
  </si>
  <si>
    <t>10.4 (45 weeks)</t>
  </si>
  <si>
    <t>6.4 (138 working days)</t>
  </si>
  <si>
    <t xml:space="preserve">Between 80% and 42% depending on age and level of reference earnings </t>
  </si>
  <si>
    <t>5. CAN:  The duration of Employment Insurance (EI) payments depends on the unemployment rate in the relevant EI region. The duration shown here relates to the unemployment rate of Ontario.</t>
  </si>
  <si>
    <t xml:space="preserve"> 12 (within a 24 month period)</t>
  </si>
  <si>
    <t>G: + benefit floor is 100% of minimum wage for married persons and couples living together (as opposed for 70% singles)</t>
  </si>
  <si>
    <t>Unemployment Insurance</t>
  </si>
  <si>
    <t>C: 130 days or 910 hours of work within past 24 months</t>
  </si>
  <si>
    <t>E: at least 6 months (with at least 80 hours per month) in last 12, or 480 hours in 6 conituous months (with at least 50 hours per month);
C: member of insurance fund for at least 12 months</t>
  </si>
  <si>
    <t>13.8 (60 weeks), then job and development guarantee programme for 21.8 (90 weeks)</t>
  </si>
  <si>
    <t>Benefit not paid for days worked.
The benefit is taxable.</t>
  </si>
  <si>
    <t>6 (renewable for 6 month periods indefinitely)</t>
  </si>
  <si>
    <t>Flat rate of EUR 16.74 net/ day</t>
  </si>
  <si>
    <t>Full cumulation for first 3 months when taking up a new job, then benefit fully withdrawn.
Benefit is reduced is monthly resources pass a threshold (EUR 669.60 for singles and EUR 1339.20 for couples).
The benefit is taxable.</t>
  </si>
  <si>
    <r>
      <rPr>
        <i/>
        <sz val="9"/>
        <rFont val="Arial"/>
        <family val="2"/>
      </rPr>
      <t>Revenu de Moyens d'Existence et d'integration</t>
    </r>
    <r>
      <rPr>
        <sz val="9"/>
        <rFont val="Arial"/>
        <family val="2"/>
      </rPr>
      <t xml:space="preserve"> (often referred to as Minimex)</t>
    </r>
    <r>
      <rPr>
        <i/>
        <sz val="9"/>
        <rFont val="Arial"/>
        <family val="2"/>
      </rPr>
      <t/>
    </r>
  </si>
  <si>
    <t>There exist measures to support the accessibility of so-called "social" housing, with rents reduced according to the income of the tenants.</t>
  </si>
  <si>
    <t>Federal housing benefit not modelled</t>
  </si>
  <si>
    <t>The three major federal rental assistance programs are: 1) public housing; 2) project-based Section 8; 3) tenant-based Section 8 vouchers.Given long waiting periods for some of these benefits and the level of discretion in their admission, they are not covered in TaxBEN. 
Some states provide housing assistance for very low income households.</t>
  </si>
  <si>
    <t>Special housing allowance under social assistance (Særlig støtte): families eligible if both spouses on social assistance or unemployment insurance benefits. Tops up regular housing benefit. After 3 months sum of social assistance and housing allowance cannot be higher than unemployment benefit. In addition, there is an overall cap on social assistance, including both special and regular housing benefits.</t>
  </si>
  <si>
    <t>60% of rent up to a maximum amount minus 18% of income above a threshold that varies according to family size. However, for families without children the benefit can never exceed 15% of the rent.</t>
  </si>
  <si>
    <t>סיוע בשכר דירה</t>
  </si>
  <si>
    <t>The “subvention de loyer” concerns households (applicant must be 18 years old and more) living in Luxembourg with low income and who rent or wish to rent a dwelling on the private market (households who rent social housing are excluded from this benefit). Furthermore, the rent must exceed more than 25% of the income and the applicant must not be owner of a dwelling in Luxembourg or abroad.</t>
  </si>
  <si>
    <t>It is possible to recieve REVIS social assistance and housing benefits concurrently.</t>
  </si>
  <si>
    <t>Bostadsbidrag</t>
  </si>
  <si>
    <t xml:space="preserve">Long-term unemployed lone parent taking up at least part-time work on a permanent contract </t>
  </si>
  <si>
    <t>Belgium (Walonne)</t>
  </si>
  <si>
    <t>Belgium (Bruxelles)</t>
  </si>
  <si>
    <t>Belgium (Germanophone)</t>
  </si>
  <si>
    <t xml:space="preserve"> + (18-24 years old)</t>
  </si>
  <si>
    <t>Belgium (Flandres)</t>
  </si>
  <si>
    <t>+ for 3rd child and thereafter</t>
  </si>
  <si>
    <t>1st threshold: EUR 51 (1st and 2nd child); EUR 81.60 (3rd child);
2nd threshold: EUR 61.20 (3rd child)</t>
  </si>
  <si>
    <t>1st threshold: EUR 40.80 (1 child); EUR 71.40 (2 children); EUR 112.20 (3 and more);
2nd threshold: EUR 25.50 (2 children); EUR 73.44 (3 and more)</t>
  </si>
  <si>
    <t>1st threshold: EUR 55;
2nd threshold: EUR 25</t>
  </si>
  <si>
    <t>1st threshold: EUR 20;
2nd threshold: EUR 10</t>
  </si>
  <si>
    <t>Canada Child Benefit (CCB)</t>
  </si>
  <si>
    <t>7% and 3.2% for one-child families, increasing rates for larger families</t>
  </si>
  <si>
    <r>
      <rPr>
        <i/>
        <sz val="9"/>
        <rFont val="Arial"/>
        <family val="2"/>
      </rPr>
      <t>Ontario Child Benefit</t>
    </r>
    <r>
      <rPr>
        <sz val="9"/>
        <rFont val="Arial"/>
        <family val="2"/>
      </rPr>
      <t xml:space="preserve"> (OCB)</t>
    </r>
  </si>
  <si>
    <t>Advance payment of child support (forskudsvis udbetalt børnebidrag)</t>
  </si>
  <si>
    <t xml:space="preserve">Ordinary child allowance (ordinært børnetilskud) and lone parent extra child allowance (ekstra børnetilskud) </t>
  </si>
  <si>
    <t>Temporary child benefit</t>
  </si>
  <si>
    <t>Persons affected by cap on social assistance</t>
  </si>
  <si>
    <t>Green check</t>
  </si>
  <si>
    <t>0; benefit given for up to 2 children</t>
  </si>
  <si>
    <t>Universal non-wastable tax credit</t>
  </si>
  <si>
    <t>At least 3 children **</t>
  </si>
  <si>
    <t>At least 2 children *</t>
  </si>
  <si>
    <t>6 to 14</t>
  </si>
  <si>
    <t>Recipients can take up part-time work and retain benefits under certain conditions. Up to a maximum of EUR 1593.81/month and 80% of full-time hours.</t>
  </si>
  <si>
    <t>Benefits are reduced by 50% of every dollar earned, up to 90% of reference earnings. After the 90% threshold, they are reduced by 100% of every additional dollar of earnings.</t>
  </si>
  <si>
    <t>Possible when working reduced hours of less than 4.5 days per week; paid on the basis of the member’s individual rate of unemployment benefits; max. 30 weeks within a period of 104 weeks.</t>
  </si>
  <si>
    <t>Permitted up to 70% of reference earnings, 110 hours of work per month and a duration of 16 months; benefit reduced in line with ratio to reference earnings.</t>
  </si>
  <si>
    <t>If current earnings below reference earnings, benefit is difference between current earnings and 75% of reference earnings. Otherwise no benefit payable.</t>
  </si>
  <si>
    <t>100% of earned income is withdrawan beyond a disregard of 10% of benefit amount.</t>
  </si>
  <si>
    <t xml:space="preserve">Weekly benefit amount reduced by 50 cents for every dollar earned during that week; ineligible to benefits if earnings more than 1.5 times weekly benefit amount.
</t>
  </si>
  <si>
    <t>Benefit provision for specific groups:
Eligibility (E), duration (D) or generosity (G) varies by …</t>
  </si>
  <si>
    <t>Legal behavioural requirements (if reported by countries)</t>
  </si>
  <si>
    <t>National or sub-national policy (region modelled in TaxBEN)</t>
  </si>
  <si>
    <t>D: +/- lower maximum duration for those aged under 35 years, higher for those aged 45 or older</t>
  </si>
  <si>
    <t>D: + longer maximum duration if 3 or more dependents</t>
  </si>
  <si>
    <t xml:space="preserve">D: + 450 day maximum duration for recipients with children
</t>
  </si>
  <si>
    <t>D: - maximum duration of 75 days for formerly part-time employed</t>
  </si>
  <si>
    <t>D: + longer maximum duration if aged 55 or over;
D: - shorter maximum duration if aged below 25 without children</t>
  </si>
  <si>
    <t>D &amp; E: + longer duration and less restrictive eligibility contitions for those aged 53 and over</t>
  </si>
  <si>
    <t xml:space="preserve">D: + option to prolong the benefit period by up to 1 year by working during the benefit period
G: - lower minimum benefit for unemployed directly after graduation and lower benefit for those aged 25 without sufficient education
G: - lower maximum benefit for those aged 60-67 who have contributed to an early retirement scheme </t>
  </si>
  <si>
    <t>G: + For those with dependents - Higher benefit floor (from commencement) and replacement rate (from 2nd year) 
G: - For those with a non-dependent spouse - Lower benefit floor (from commencement) and replacement rate (from 2nd year)</t>
  </si>
  <si>
    <t>G: - if aged 19-21: benefit of 70% of minimum wage, - if aged under 18: 40% of minimum wage if education not completed; 
D: - if aged below 21: benefit is payable after a waiting period of 26 or 39 weeks;
D: + longer benefit duration if aged 50 plus and 20 years of contributions</t>
  </si>
  <si>
    <r>
      <t>D: +/- benefit duration varies by contribution record;
D: + extended duration for unemployed aged between 60 and legal retirement age</t>
    </r>
    <r>
      <rPr>
        <i/>
        <sz val="9"/>
        <rFont val="Arial"/>
        <family val="2"/>
      </rPr>
      <t/>
    </r>
  </si>
  <si>
    <t>G: - benefit replacement rate falls more quickly for those aged under 25 without children (20 weeks rather than 40 weeks)</t>
  </si>
  <si>
    <r>
      <t>Child allowance (</t>
    </r>
    <r>
      <rPr>
        <i/>
        <sz val="9"/>
        <rFont val="Arial"/>
        <family val="2"/>
      </rPr>
      <t>Barnbidrag</t>
    </r>
    <r>
      <rPr>
        <sz val="9"/>
        <rFont val="Arial"/>
        <family val="2"/>
      </rPr>
      <t>)</t>
    </r>
  </si>
  <si>
    <t>Tax credit for children</t>
  </si>
  <si>
    <t xml:space="preserve">United States
</t>
  </si>
  <si>
    <t>Minimex: 100%</t>
  </si>
  <si>
    <t>All except family benefits, refundable child tax credit, and other in-kind social provisions</t>
  </si>
  <si>
    <t>Regional (Ontario)</t>
  </si>
  <si>
    <r>
      <t xml:space="preserve">Canada </t>
    </r>
    <r>
      <rPr>
        <vertAlign val="superscript"/>
        <sz val="9"/>
        <rFont val="Arial"/>
        <family val="2"/>
      </rPr>
      <t>(6)</t>
    </r>
  </si>
  <si>
    <t>CAD 200 / month</t>
  </si>
  <si>
    <t>E: - reduced if received benefit for 1 year in previous 3 and not worked minimum of 225 hours in past 12 months</t>
  </si>
  <si>
    <t>Earnings disregard of up to DKK 27.84 per hour worked for maximum of 160 hours per month per person</t>
  </si>
  <si>
    <t>25 (or less if lone parent)</t>
  </si>
  <si>
    <t>Income support benefit (גמלה להבטחת הכנסה)</t>
  </si>
  <si>
    <t>Revenu minimum garanti (REVIS)</t>
  </si>
  <si>
    <t>Cantonal with national guidelines (Zurich)</t>
  </si>
  <si>
    <t>Canada Workers Benefit (CWB)</t>
  </si>
  <si>
    <t xml:space="preserve">20% 
</t>
  </si>
  <si>
    <t>Between 12.8% and 34% as earnings rise</t>
  </si>
  <si>
    <t>Earnings up to half the minimum wage are permitted (the benefit is suspended); benefit is revoked if earnings beyond this limit</t>
  </si>
  <si>
    <t>No regular employment permitted, suspension of benefit for short-term (&lt;120 days) and seasonal employment</t>
  </si>
  <si>
    <t>NASpI payments are suspended if the jobseeker takes up a temporary employment of no more than 6 months and the expected annual taxable earnings from this job are above EUR 8,000. If taxable earnings are below EUR 8,000 a reduced benefit amount is still payable independently of the contract duration. The reduced benefit amount is equal to the original benefit amount minus 80% of the taxable earnings expected to be earned between the beginning of the new job and the end of the fiscal year (or the UI entitlements)</t>
  </si>
  <si>
    <t xml:space="preserve">E + C: The applicant must have been insured for a period of more than 12 months, with more than 11 days per month, over 2 years before unemployment. Applicants who are unemployed as a result of bankruptcy or dismissal must have been insured for a period of more than 6 months over 1 year before unemployment. </t>
  </si>
  <si>
    <t>3 to 12 months depending to the period of insured employment, the age of the recipient and the reason for leaving employment. For a 40 years old perosn with an interrupted employment record of 22 years, the maximum duration is 9 months.</t>
  </si>
  <si>
    <t>The reference earnings is the total amount of gross earnings, excluding bonuses, paid over the previous 6 months and divided by 180.</t>
  </si>
  <si>
    <t>None permitted, but re-employment allowance gives recipients a proportion of their remaining benefit entitlement as a lump sum (check worksheet 'Employment-related provisions')</t>
  </si>
  <si>
    <t>E + C: 9 out of last 24 months, or 6 out of last 24 months for individuals aged under 30.</t>
  </si>
  <si>
    <t>Benefit is proportionate with working hours: full withdrawal at 20 hours per week. Since 2018, if the individual begins a full-time job (40 hours per week) before having exhausted their unemployment insurance benfit, they are still entitled to 20% of the last gross payment they received until their benefit would have expired or until 12 months, whichever is shorter.</t>
  </si>
  <si>
    <t>Poistenie v nezamestnanosti</t>
  </si>
  <si>
    <t>E + C: 24 out of last 48 months</t>
  </si>
  <si>
    <t>Benefit reduced in proportion with working hours, full withdrawal when working more than half-time over a period of 14 days</t>
  </si>
  <si>
    <t>C: Insurance instalments must have been made for at least 12 months out of the last 18 months.</t>
  </si>
  <si>
    <t>6 (156 days)</t>
  </si>
  <si>
    <t xml:space="preserve">For the Unemployment Benefit: gross individual earnings. 
For the Special Unemployment Benefit: gross household earnings minus employee social security contributions.  </t>
  </si>
  <si>
    <t>The benefit is fully withdrawn if the jobseeker takes up employment. However, recipients of the Special Unemployment Benefit who move into employment with earnings equal to at least the national full-time minimum wage are eligible to apply for the 'Tapering of Benefits scheme' (see employment-related provisions' for details).</t>
  </si>
  <si>
    <t>G: + the benefit is increased by a share of the average gross basic salary earned in the last 12 months of contributions that depends on the period of contributions:
- 3% for at least 3 years of contributions;
- 5% for at least 5 years of contributions;
- 7% for at least 7 years of contributions;
- 10% for at least 10 years of contributionss.</t>
  </si>
  <si>
    <t>Allowance for living (Příspěvek na živobytí)</t>
  </si>
  <si>
    <r>
      <rPr>
        <i/>
        <sz val="9"/>
        <rFont val="Arial"/>
        <family val="2"/>
      </rPr>
      <t>Reddito di Cittadinanza</t>
    </r>
    <r>
      <rPr>
        <sz val="9"/>
        <rFont val="Arial"/>
        <family val="2"/>
      </rPr>
      <t xml:space="preserve"> (RdC)</t>
    </r>
  </si>
  <si>
    <t>Yes, depending on the personalized ‘activation plan’</t>
  </si>
  <si>
    <t>Yes, housing benefit supplements for rented accommodations.</t>
  </si>
  <si>
    <t>All other means-tested benefits with the exclusion of the disability allowance.</t>
  </si>
  <si>
    <t xml:space="preserve">G: + higher rates for households with only persons of 67 years old or above
</t>
  </si>
  <si>
    <t>E: - maximum benefit duration is 18 months, renewable for multiple times for additional 12 months, but after a waiting period of 1 months.</t>
  </si>
  <si>
    <t>E: - no eligibility if residency in the country is less than 10 years (the  two before the claim must be spent continuously in the country).</t>
  </si>
  <si>
    <t>Temporary assistance for term end; Winter supplementary assistance; housing assistance; Supplementary child assistance; Supplementary lone parent assistance</t>
  </si>
  <si>
    <t>No, but being in the register of jobseekers grants eligibility for the activation allowance</t>
  </si>
  <si>
    <t>25% of earnings net of taxes and social security contributions (50% if a special allowance is granted to a member of the household)</t>
  </si>
  <si>
    <t>100%, after considering the 25% of earnings disregards</t>
  </si>
  <si>
    <t xml:space="preserve">G: + higher rates if working: benefit increased by 26% if claimant working 60 to 128 hours per month, 51% if more than 128 hours; by 13% for another adult if they work 60 to 128 hours per month and 26% if more than 128 hours </t>
  </si>
  <si>
    <t>Social assistance recipient of working age must have been registered unemployed for at least six months before filing the application for social support. There are specific housing conditions regarding the number of rooms relative to the family size.</t>
  </si>
  <si>
    <t>Yes: 'Social assistance for heating' increase the amount for a single person (column 10) up to 7.1% of the AW.</t>
  </si>
  <si>
    <t>18</t>
  </si>
  <si>
    <t>No. Entitlements are increased by 15% if at least one family member is employed</t>
  </si>
  <si>
    <t>Ghajnuna Socjali</t>
  </si>
  <si>
    <t>Benefit is not compatible with work. However, lone parents can work without losing eligibility as long as the sum of gross earnings and social assistance does not exceed the national minimum wage.</t>
  </si>
  <si>
    <t>None. For those who take up employment 20% of the new earnings are disregarded. The duration of the disregard applies until the end of the fiscal year plus 12 more months. thereis also an exemption of social contributions for those who take up permanent employment. This exemption lasts for 18 months minus the number of months of benefit receipt before taking up employment. \The minimum duration of the exemption cannot be less than 5 months and cannot be higher than EUR 780 per month.</t>
  </si>
  <si>
    <t>100%. The withdrawal rate for those who take up employment is less than 100% due to the earnings disregards (see column 16)</t>
  </si>
  <si>
    <t>Commonwealth Rent Assistance (CRA)</t>
  </si>
  <si>
    <t xml:space="preserve">Paid to eligible individuals and families who rent in the private rental market and community housing and are recipients of social security pensions or benefits and/or receiving more than the minimum rate of Family Tax Benefit (FTB) Part A. Benefit amount 75% of rent above threshold until maximum reached. Benefit withdrawn after unemployment benefits fully withdrawn for those without children, and alongside FTB Part A for those with children. </t>
  </si>
  <si>
    <r>
      <t>Housing Allowance (</t>
    </r>
    <r>
      <rPr>
        <i/>
        <sz val="9"/>
        <rFont val="Arial"/>
        <family val="2"/>
      </rPr>
      <t>Příspěvek na bydlení</t>
    </r>
    <r>
      <rPr>
        <sz val="9"/>
        <rFont val="Arial"/>
        <family val="2"/>
      </rPr>
      <t>)</t>
    </r>
  </si>
  <si>
    <r>
      <t>Housing supplement (</t>
    </r>
    <r>
      <rPr>
        <i/>
        <sz val="9"/>
        <rFont val="Arial"/>
        <family val="2"/>
      </rPr>
      <t>Doplatek na bydlení</t>
    </r>
    <r>
      <rPr>
        <sz val="9"/>
        <rFont val="Arial"/>
        <family val="2"/>
      </rPr>
      <t>)</t>
    </r>
  </si>
  <si>
    <t>The housing supplement is the amount that remains after subtracting from the living minimum amount the relevant net household income minus the reasonable housing costs plus the housing allowance and the allowance for living. In practice:
Housing supplement = (reasonable housing costs – Housing Allowance) – (relevant household income + allowance for living – Living Minimum)</t>
  </si>
  <si>
    <t>Rent supplements are normally calculated to ensure that a person, after the payment of rent (up to a limit), has an income equal to the rate of supplementary welfare assistance (SWA) appropriate to their family circumstances, minus a weekly minimum contribution payable from their own resources. The weekly minimum contribution is €30 for a single adult household and €40 for couples. Eligibility is determined by the loss of employment and by not being entitled to the Housing Assistance Payment (HAP).</t>
  </si>
  <si>
    <t>No, depending on eligibility people can receive either the Housing Assistance Paymentor this benefit.</t>
  </si>
  <si>
    <t>Rent supplement for social assistance recipients, young adults rent incentive (next row)</t>
  </si>
  <si>
    <t>Refoundable tax credit for rented accommodations</t>
  </si>
  <si>
    <t>The amount depends on the household’s gross taxable income. Two income thresholds are used: EUR 15 493.71 (y1) and EUR 30 987.41 (y2). The maximum tax credit is for incomes below y1. the amount if halved for incomes between y1 and y2. No tax credit for incomes above y2</t>
  </si>
  <si>
    <t>Rent support in Italy is managed at the regional level. Regional programmes are funded mainly by the National Fund for Rental Support. In 2020 the Government did not allocate resources to this fund. However, some regions provide rent support with their own funds. Lazio regions did not operate any regional rent support programme in 2020.</t>
  </si>
  <si>
    <t xml:space="preserve">Entitlements depend on the claimant’s household income and household size. The claimant must pay 20% of the rent. If the claimant’s ability to pay is less than 20% of the rent, then they are entitled to HB up to 80% of the full rent. </t>
  </si>
  <si>
    <t>Housing allowance (part of the Assistance in material need)</t>
  </si>
  <si>
    <t>The housing allowance is part of the Assistance in material need, and it's paid for each apartment, family house, or other facility designed for housing regardless the number of households living there.</t>
  </si>
  <si>
    <t>No national housing benefit programmes for rented accommodations. Only persons renting public (state or communal) owned accommodations may receive regular monthly housing assitance if:they meet the following requirements: 1) income in the previous month is up to 250% of DMI (75 BGN); 2) they are either orphans under 25 years of age, or lone persons over 70 years of age, or lone parents.</t>
  </si>
  <si>
    <t>Housing benefit on privately rented dwellings</t>
  </si>
  <si>
    <t>Amount depends on both the annual household income and the rent paid.</t>
  </si>
  <si>
    <t xml:space="preserve">Basic Supplementary Welfare Allowance (SWA) </t>
  </si>
  <si>
    <t>100%, no eligibility if the recipient works for more than 30 hours per week</t>
  </si>
  <si>
    <t>Jobseeker’s Benefit, Jobseeker’s Allowance, Jobseeker’s Transitional Payment, One-Parent Family Payment and Working Family Payment. Child benefit is excluded.</t>
  </si>
  <si>
    <t>Youngest child up to 7 (included)</t>
  </si>
  <si>
    <r>
      <t>Child allowance (</t>
    </r>
    <r>
      <rPr>
        <i/>
        <sz val="9"/>
        <rFont val="Arial"/>
        <family val="2"/>
      </rPr>
      <t>Přídavek na dítě</t>
    </r>
    <r>
      <rPr>
        <sz val="9"/>
        <rFont val="Arial"/>
        <family val="2"/>
      </rPr>
      <t>)</t>
    </r>
  </si>
  <si>
    <r>
      <t>Parental allowance (</t>
    </r>
    <r>
      <rPr>
        <i/>
        <sz val="9"/>
        <rFont val="Arial"/>
        <family val="2"/>
      </rPr>
      <t>Rodičovský příspěvek</t>
    </r>
    <r>
      <rPr>
        <sz val="9"/>
        <rFont val="Arial"/>
        <family val="2"/>
      </rPr>
      <t>)</t>
    </r>
  </si>
  <si>
    <t xml:space="preserve">The parent should provide full-time regular care personally. Attendance at pre-school is allowed until 92 hours per month for a child up to the age of 2, while for older children the time spent at a nursery is not relevant for eligibility </t>
  </si>
  <si>
    <t>18 (20)</t>
  </si>
  <si>
    <t>Regular child protection allowance  (Rendszeres gyermekvédelmi kedvezmény)</t>
  </si>
  <si>
    <t>The per capita monthly family income should not exceed HUF 38,475. In the case of a single-parent family, families of disabled children, and families where the child is in education and above 18, the latter amount is HUF 41,325.</t>
  </si>
  <si>
    <t>Child care allowance (Gyermekgondozást segítő ellátás ‘GYES’)</t>
  </si>
  <si>
    <t>0 for maximum two children at the same time</t>
  </si>
  <si>
    <t>Child raising support (Gyermeknevelési támogatás)</t>
  </si>
  <si>
    <t>Three or more children under the age of 18</t>
  </si>
  <si>
    <r>
      <t>Family tax base allowance (</t>
    </r>
    <r>
      <rPr>
        <i/>
        <sz val="9"/>
        <rFont val="Arial"/>
        <family val="2"/>
      </rPr>
      <t>családi kedvezmény</t>
    </r>
    <r>
      <rPr>
        <sz val="9"/>
        <rFont val="Arial"/>
        <family val="2"/>
      </rPr>
      <t>)</t>
    </r>
  </si>
  <si>
    <t>+ for second and third child, -- after the third child</t>
  </si>
  <si>
    <t>Youngest child must be above 7 and under 14</t>
  </si>
  <si>
    <r>
      <t>Large Family allowance (</t>
    </r>
    <r>
      <rPr>
        <i/>
        <sz val="9"/>
        <rFont val="Arial"/>
        <family val="2"/>
      </rPr>
      <t>Assegno alle famiglie numerose</t>
    </r>
    <r>
      <rPr>
        <sz val="9"/>
        <rFont val="Arial"/>
        <family val="2"/>
      </rPr>
      <t xml:space="preserve">) </t>
    </r>
  </si>
  <si>
    <t xml:space="preserve">At least three children under 18 living in the household. 'ISEE' indicator (indicator of equivalent household economic situation') below a certain threshold. </t>
  </si>
  <si>
    <t>Yes. ISEE indicator includes 20% of household wealth (excluding the value of the main residence)</t>
  </si>
  <si>
    <r>
      <t>Family allowance (</t>
    </r>
    <r>
      <rPr>
        <i/>
        <sz val="9"/>
        <rFont val="Arial"/>
        <family val="2"/>
      </rPr>
      <t>Assegno al nucleo Familiare</t>
    </r>
    <r>
      <rPr>
        <sz val="9"/>
        <rFont val="Arial"/>
        <family val="2"/>
      </rPr>
      <t>)</t>
    </r>
  </si>
  <si>
    <t>18 (21)</t>
  </si>
  <si>
    <t>At least 70% of household earnings must be from employment or unemployment (or old-age pensions for previous employees). Amounts depends on number of effective days of work (but not hours of work per day).</t>
  </si>
  <si>
    <t>Lower rate if income exceeds threshold. The income threshold is based on gross annual income minus the employment income deduction minus JPY 80000.</t>
  </si>
  <si>
    <t>2.29231% for main benefit, addition for second child withdrawn at a rate of 0.35385%, addition for third and subsequent children withdrawn at a rate of 0.21189%
Benefit fully withdrawn if income exceeds higher income threshold that varies by family size.</t>
  </si>
  <si>
    <t>Lone parent working at least half-time after the child is 1 year old</t>
  </si>
  <si>
    <t>Child not in public kindergarten full-time</t>
  </si>
  <si>
    <r>
      <t xml:space="preserve">Parent allowance </t>
    </r>
    <r>
      <rPr>
        <i/>
        <sz val="9"/>
        <rFont val="Arial"/>
        <family val="2"/>
      </rPr>
      <t>(foreldrefradrag)</t>
    </r>
  </si>
  <si>
    <t>- for the second child, 0 for each subsequent child</t>
  </si>
  <si>
    <t>16 (25)</t>
  </si>
  <si>
    <t>-: the credit halves for children above 6 years old</t>
  </si>
  <si>
    <r>
      <t>Alimony replacement benefit (</t>
    </r>
    <r>
      <rPr>
        <i/>
        <sz val="9"/>
        <rFont val="Arial"/>
        <family val="2"/>
      </rPr>
      <t>Náhradné výživné</t>
    </r>
    <r>
      <rPr>
        <sz val="9"/>
        <rFont val="Arial"/>
        <family val="2"/>
      </rPr>
      <t>)</t>
    </r>
  </si>
  <si>
    <t>3.3 times the subsistence minimum for lone parents</t>
  </si>
  <si>
    <t xml:space="preserve"> 0 in lower income brackets, + in the two highest income brackets</t>
  </si>
  <si>
    <t>0 in lower income brackets, + in the two highest income brackets</t>
  </si>
  <si>
    <t>Conditional Cash Transfer (CCT) for Education and Health Assistance</t>
  </si>
  <si>
    <t>For the Health Assistance, recipients have to go to the clinic regularly. For the Education assistance, school attendance is required.</t>
  </si>
  <si>
    <t xml:space="preserve">Full withdrawal if the monthly per capita household income is above one third of the net minimum wage </t>
  </si>
  <si>
    <t>+ for 2nd and 3rd child, - for 4th and 5th child, 0 for further children.</t>
  </si>
  <si>
    <r>
      <t>Alimony advance payment (</t>
    </r>
    <r>
      <rPr>
        <i/>
        <sz val="9"/>
        <rFont val="Arial"/>
        <family val="2"/>
      </rPr>
      <t>Изплащане на присъдена издръжка от държавата</t>
    </r>
    <r>
      <rPr>
        <sz val="9"/>
        <rFont val="Arial"/>
        <family val="2"/>
      </rPr>
      <t>)</t>
    </r>
  </si>
  <si>
    <t>Children's allowance</t>
  </si>
  <si>
    <t>15 (21)</t>
  </si>
  <si>
    <r>
      <t>Monthly state allowance for children (</t>
    </r>
    <r>
      <rPr>
        <i/>
        <sz val="9"/>
        <rFont val="Arial"/>
        <family val="2"/>
      </rPr>
      <t>Alocaţia lunară de stat pentru copii</t>
    </r>
    <r>
      <rPr>
        <sz val="9"/>
        <rFont val="Arial"/>
        <family val="2"/>
      </rPr>
      <t>)</t>
    </r>
  </si>
  <si>
    <t>17 (no limit)</t>
  </si>
  <si>
    <t>Into-work benefit for recipients of unemployment insurance benefit</t>
  </si>
  <si>
    <t>into work benefit</t>
  </si>
  <si>
    <t>UI benefit amount minus 80% of the expected taxable earnings earned between the beginning of the new job and the end of the fiscal year (or the end of UI if the benefit expires before)</t>
  </si>
  <si>
    <t>Into-work benefit for recipients of social assistance</t>
  </si>
  <si>
    <t>Yes: not less than 12 months but no more than 24 (depending on when during the year the person moved into work)</t>
  </si>
  <si>
    <t>Benefit provided in terms of (1) earnings disregards (20%) when assessing SA entitlements, 2) exemption from social security contributions (up to EUR 780 per month)</t>
  </si>
  <si>
    <t>Benefit is maximum for earnings above the eligibility threshold.</t>
  </si>
  <si>
    <t>Individual gross earnings net of SSC</t>
  </si>
  <si>
    <t>In 2020, the tax credit is equal to 0 beacuse the income tax base (at the level of the minimum wage) was higher than the basic tax allowance.</t>
  </si>
  <si>
    <t>n.a., above a certain threshold (see column 15), the benefit is ceased.</t>
  </si>
  <si>
    <t xml:space="preserve">Special allowance in social assistance (Osobitný príspevok) </t>
  </si>
  <si>
    <t>Up to 18 months</t>
  </si>
  <si>
    <t>Yes, +26% of benefit amount for first adult if they are working 60 to 128 hours per month, +51% if more than 128 hours
+ 13% of benefit amount for second adult if they are working 60 to 128 hours per month, +26% if more than 128 hours</t>
  </si>
  <si>
    <t xml:space="preserve">No phase-in for single-earner couples and lone parents; stepwise increase for two-earner couples
</t>
  </si>
  <si>
    <t>Stepwise reductions, average rates depend on the family type.</t>
  </si>
  <si>
    <t>Additional EU countries and territories</t>
  </si>
  <si>
    <t>Conditional Cash Transfers. Described in 'Family provisions'</t>
  </si>
  <si>
    <t xml:space="preserve">D: + longer benefit duration if aged 50 or over; 
</t>
  </si>
  <si>
    <t xml:space="preserve">G: + if participation in specific ALMP; 
D: if participation in specific ALMP;
G: + if in need (UI below certain level)
</t>
  </si>
  <si>
    <t>G: + per child supplement</t>
  </si>
  <si>
    <t>Bedarfsorientierte Mindestsicherung / Sozialhilfe</t>
  </si>
  <si>
    <t>Requirement to make use of all other private and/or public entitlements as a primary source of support, asset test</t>
  </si>
  <si>
    <t>Energy support; 
Additional housing support available</t>
  </si>
  <si>
    <t>Young people aged 18 and over must be in education (students / apprentices)</t>
  </si>
  <si>
    <r>
      <t>Child tax credit (</t>
    </r>
    <r>
      <rPr>
        <i/>
        <sz val="9"/>
        <rFont val="Arial"/>
        <family val="2"/>
      </rPr>
      <t>Kinderabsetzbetrag</t>
    </r>
    <r>
      <rPr>
        <sz val="9"/>
        <rFont val="Arial"/>
        <family val="2"/>
      </rPr>
      <t>)</t>
    </r>
  </si>
  <si>
    <t>Recipient of family allowance and lone parent / parent with a low-earning spouse</t>
  </si>
  <si>
    <t>Spouse's earnings up to EUR 6,000 are disregarded</t>
  </si>
  <si>
    <t>The benefit is fully withdrawn if the earnings of the spouse / partner are in excess of the earnings disregard</t>
  </si>
  <si>
    <r>
      <t>Family tax credit (</t>
    </r>
    <r>
      <rPr>
        <i/>
        <sz val="9"/>
        <rFont val="Arial"/>
        <family val="2"/>
      </rPr>
      <t>Familienbonus Plus</t>
    </r>
    <r>
      <rPr>
        <sz val="9"/>
        <rFont val="Arial"/>
        <family val="2"/>
      </rPr>
      <t>)</t>
    </r>
  </si>
  <si>
    <t>na</t>
  </si>
  <si>
    <t>Those returning to work who are over 50 and either unemployed for over 90 days or unemployed with low employment opportunities due to ill health or long inactivity</t>
  </si>
  <si>
    <t>D: + duration extended to 15 (18, 24) months if at least 50 (55, 58) years old and at least 30 (36, 48) months of contributions</t>
  </si>
  <si>
    <r>
      <rPr>
        <i/>
        <sz val="9"/>
        <rFont val="Arial"/>
        <family val="2"/>
      </rPr>
      <t>Grundsicherung für Arbeitssuchende / Arbeitslosengeld II</t>
    </r>
    <r>
      <rPr>
        <sz val="9"/>
        <rFont val="Arial"/>
        <family val="2"/>
      </rPr>
      <t xml:space="preserve"> (ALGII; SGBII, "Hartz IV")</t>
    </r>
  </si>
  <si>
    <t xml:space="preserve">G: + child additions varying by age, and supplements for school-aged children;
G: + lone parent supplement
</t>
  </si>
  <si>
    <t>Can be part of the activation agreement if immediate integration into the regular labour market is unlikely and no other appropriate ALMP measure can be offered</t>
  </si>
  <si>
    <t>Education and participation package (see family benefits); specific housing benefit for unemployment benefit II recipients; insurance contributions; additional allowances for specific needs (e.g. disability, pregnancy); one-off benefits</t>
  </si>
  <si>
    <r>
      <t>Note that persons who are not able to work (because of ill-health or age) receive</t>
    </r>
    <r>
      <rPr>
        <i/>
        <sz val="9"/>
        <rFont val="Arial"/>
        <family val="2"/>
      </rPr>
      <t xml:space="preserve"> Sozialgeld</t>
    </r>
    <r>
      <rPr>
        <sz val="9"/>
        <rFont val="Arial"/>
        <family val="2"/>
      </rPr>
      <t xml:space="preserve"> instead of UBII, see footnote 7.</t>
    </r>
  </si>
  <si>
    <r>
      <t>Child benefit (</t>
    </r>
    <r>
      <rPr>
        <i/>
        <sz val="9"/>
        <rFont val="Arial"/>
        <family val="2"/>
      </rPr>
      <t>Kindergeld</t>
    </r>
    <r>
      <rPr>
        <sz val="9"/>
        <rFont val="Arial"/>
        <family val="2"/>
      </rPr>
      <t>)</t>
    </r>
  </si>
  <si>
    <t>Young people aged 21 and over must be in education (students / apprentices)</t>
  </si>
  <si>
    <r>
      <t>Child supplement (</t>
    </r>
    <r>
      <rPr>
        <i/>
        <sz val="9"/>
        <rFont val="Arial"/>
        <family val="2"/>
      </rPr>
      <t>Kinderzuschlag</t>
    </r>
    <r>
      <rPr>
        <sz val="9"/>
        <rFont val="Arial"/>
        <family val="2"/>
      </rPr>
      <t>)</t>
    </r>
  </si>
  <si>
    <t>In receipt of child benefit; family income above minimum and below maximum threshold. The benefit is designed to prevent parents from having to apply for UBII because they raise children</t>
  </si>
  <si>
    <r>
      <t>Child tax allowance (</t>
    </r>
    <r>
      <rPr>
        <i/>
        <sz val="9"/>
        <rFont val="Arial"/>
        <family val="2"/>
      </rPr>
      <t>Kinderfreibetrag</t>
    </r>
    <r>
      <rPr>
        <sz val="9"/>
        <rFont val="Arial"/>
        <family val="2"/>
      </rPr>
      <t>)</t>
    </r>
  </si>
  <si>
    <t>Targeted (high earners)</t>
  </si>
  <si>
    <t xml:space="preserve">If the value of the child tax credit is less than the relief calculated applying the child tax allowance, the taxpayer receives the tax allowance instead of the tax credit </t>
  </si>
  <si>
    <t>Entitlement to the tax allowance or child benefit</t>
  </si>
  <si>
    <r>
      <t>Maintenance advance for lone parents (</t>
    </r>
    <r>
      <rPr>
        <i/>
        <sz val="9"/>
        <rFont val="Arial"/>
        <family val="2"/>
      </rPr>
      <t>Unterhaltsvorschuss</t>
    </r>
    <r>
      <rPr>
        <sz val="9"/>
        <rFont val="Arial"/>
        <family val="2"/>
      </rPr>
      <t>)</t>
    </r>
  </si>
  <si>
    <t xml:space="preserve">Other parent does not regularly pay child maintenance;
To receive maintenance advance, for children between age 12 and 17, the parent must earn at least EUR 600 per month OR the child must no longer be eligible for UBII once in receipt of maintenance advance.
</t>
  </si>
  <si>
    <t>The effective social security contribution rate rises from 3.6% in the "mini-job" zone to 20% at the end of the midi-job zone.</t>
  </si>
  <si>
    <t xml:space="preserve">Th benefit may be accumulated with earnings from part-time work or self-employment if earnings are below the UI amount; in this case UI benefit is equal to the difference between 1.35 times UI benefit and the earnings. </t>
  </si>
  <si>
    <t>D: + benefit duration increases with age.
D: + benefit duration increases with contribution history.</t>
  </si>
  <si>
    <t xml:space="preserve">Subsìdio social de desemprego </t>
  </si>
  <si>
    <t xml:space="preserve">24 for jobseekers who were not entitled to UI, 12 if exhausted UI entitlement period </t>
  </si>
  <si>
    <t>18 with exceptions (e.g. if claimant has children)</t>
  </si>
  <si>
    <t xml:space="preserve">80%, reduced to 50% during the first 12 months after taking up employment
</t>
  </si>
  <si>
    <t>All other benefits except family benefits, disability and long-term care benefits</t>
  </si>
  <si>
    <t xml:space="preserve">This is a scheme for low-income tenants with tenancies signed before 1990, whose rent is being updated by their landlord, in accordance to a change in rental laws in 2006. The amount is the difference between the actual rent and a rent that is affordable to the tenant (based on income and household size). </t>
  </si>
  <si>
    <t>+ for children aged up to 3 years, otherwise 0</t>
  </si>
  <si>
    <t>No (the benefit is tested against all households income, including gross earnings and other benefits)</t>
  </si>
  <si>
    <t>Fully withdrawn once income exceeds threshold</t>
  </si>
  <si>
    <t xml:space="preserve">Universal </t>
  </si>
  <si>
    <t>Non-payable tax credit (thus, tax burden must be higher than tax credit)</t>
  </si>
  <si>
    <r>
      <t>Unemployment insurance (</t>
    </r>
    <r>
      <rPr>
        <i/>
        <sz val="9"/>
        <rFont val="Arial"/>
        <family val="2"/>
      </rPr>
      <t>Subisdio de desemprego</t>
    </r>
    <r>
      <rPr>
        <sz val="9"/>
        <rFont val="Arial"/>
        <family val="2"/>
      </rPr>
      <t>)</t>
    </r>
  </si>
  <si>
    <t>Up to 12 months, but at most the remainder of recipients UI entitlement</t>
  </si>
  <si>
    <t>Yes - full-time work</t>
  </si>
  <si>
    <t>If accept full-time job with lower earnings than unemployment insurance benefit, 50% of unemployment benefit during first six months and 25% in following six months. 
If earnings are less than maximum UI benefit and hours are less than full time, UI benefit = (previous UI benefit*1.35 - income), see Unemployment insurance.</t>
  </si>
  <si>
    <t>100% in case where earnings are more than the UI benefit or hours are less than full time work (in which case the worker may receive cumulative UI benefit, see Unemployment Insurance)</t>
  </si>
  <si>
    <r>
      <t>Social assistance (</t>
    </r>
    <r>
      <rPr>
        <i/>
        <sz val="9"/>
        <rFont val="Arial"/>
        <family val="2"/>
      </rPr>
      <t>Rendimento social de inserção</t>
    </r>
    <r>
      <rPr>
        <sz val="9"/>
        <rFont val="Arial"/>
        <family val="2"/>
      </rPr>
      <t>)</t>
    </r>
  </si>
  <si>
    <t xml:space="preserve">Prestación por desempleo </t>
  </si>
  <si>
    <t>UI: UI exhausted and has family responsibility (without family responsibility if over 45); does not qualify for UI because not enough contributions; over 52 years old; other</t>
  </si>
  <si>
    <t xml:space="preserve">E: + workers who have exhausted their UI benefit are eligible even without family responsibilities, no minimum contribution period for workers over 52;
D: + longer durations for workers over 45 depending on contribuiton record, workers over 52 until statutory retirement age. </t>
  </si>
  <si>
    <t xml:space="preserve">E: + workers under 45 with family responsibilities if they have exhausted their UI benefit
D: + for workers who were not entitled to UI benefits. </t>
  </si>
  <si>
    <t xml:space="preserve">The following groups of workers may be entitled in certain cases (regardless of contribution periods or family situation): Spanish emigrant workers, people released from prison, workers who have (partially) recovered from a disability. </t>
  </si>
  <si>
    <r>
      <t>Renta Activa de Inserción [</t>
    </r>
    <r>
      <rPr>
        <i/>
        <sz val="9"/>
        <rFont val="Calibri"/>
        <family val="2"/>
        <scheme val="minor"/>
      </rPr>
      <t>not modelled in TaxBEN</t>
    </r>
    <r>
      <rPr>
        <i/>
        <sz val="9"/>
        <rFont val="Arial"/>
        <family val="2"/>
      </rPr>
      <t>]</t>
    </r>
  </si>
  <si>
    <t>UI: UI and UA exhausted or not eligible</t>
  </si>
  <si>
    <t xml:space="preserve">26 (younger if they have their own children) </t>
  </si>
  <si>
    <t xml:space="preserve">Most benefits and pension except family benefits. </t>
  </si>
  <si>
    <t>Some regions (including Madrid) operate housing benefit schemes. The tax code has a tax credit for housing expenses on a national level.</t>
  </si>
  <si>
    <r>
      <t>Family benefit (</t>
    </r>
    <r>
      <rPr>
        <i/>
        <sz val="9"/>
        <rFont val="Arial"/>
        <family val="2"/>
      </rPr>
      <t>Prestaciónes familiares</t>
    </r>
    <r>
      <rPr>
        <sz val="9"/>
        <rFont val="Arial"/>
        <family val="2"/>
      </rPr>
      <t>)</t>
    </r>
  </si>
  <si>
    <t>T, except if only source of income, not subject to SSC</t>
  </si>
  <si>
    <t>C: 12 months in the two tax years preceding the tax year of the benefit claim</t>
  </si>
  <si>
    <t xml:space="preserve">Universal Credit </t>
  </si>
  <si>
    <t>409.89/week</t>
  </si>
  <si>
    <t xml:space="preserve">Earnings net of income tax and National Insurance Contributions are subject to a taper rate of 63%. </t>
  </si>
  <si>
    <t>G: - lower benefit amounts for under 25 year-olds</t>
  </si>
  <si>
    <t>G: + higher benefits for children, childcare supplement</t>
  </si>
  <si>
    <t>G:+ additional monthly amount for recipients with limited capability for work</t>
  </si>
  <si>
    <t>18 (with exceptions)</t>
  </si>
  <si>
    <t>Claimant's partner also subject to job search requirements if no dependent children</t>
  </si>
  <si>
    <t>Support for housing costs, see sheet "Housing Benefits"</t>
  </si>
  <si>
    <t>Most benefits, except Child benefit, reduce UC one-for-one basis</t>
  </si>
  <si>
    <t>G:+ higher amounts for those with limited capacity to work</t>
  </si>
  <si>
    <t xml:space="preserve">The benefit covers "eligible rent", which is capped at the Local Housing Allowance rate. This rate determines the appropriate number of bedrooms for a given household, and varies by area. </t>
  </si>
  <si>
    <t xml:space="preserve">Social-Assistance-type benefit that can be received when in-work </t>
  </si>
  <si>
    <t>Low-income workers, lone parents and one earner couples with children</t>
  </si>
  <si>
    <t>Household earnings net of tax and social security contributions, other benefits and pensions</t>
  </si>
  <si>
    <t xml:space="preserve">United 
Kingdom </t>
  </si>
  <si>
    <t xml:space="preserve">5. AUT: benefit rates for city of Vienna. Standard rates in Vienna include a 25% subsidy for housing, which is not included in this table as actual rent is set to zero, except for dependent children. </t>
  </si>
  <si>
    <t>Other benefits are counted towards the means-test unemployment benefit II if they serve the same purpose (secure the recipients' livelihood).</t>
  </si>
  <si>
    <t>Subsidio extraordinario por desempleo [not modelled in TaxBEN]</t>
  </si>
  <si>
    <t>Japan (Tokyo)</t>
  </si>
  <si>
    <t>Difference between the maximum reference housing costs and the household's reference income, multiplied by a coefficient of 0.3 (0.35 in Prague). Results depend on other benefit provisions (e.g. family support) and the difference betwee the housing costs and the 'reasonable' housing costs.</t>
  </si>
  <si>
    <t>15.7% for a single person and 8.76% for a couple with two children (assuming housing costs equal to 20% of the AW). If the housing costs were 50% of the AW, then the maximum benefit amount for a couple with two children would be 32% of the AW.</t>
  </si>
  <si>
    <t>2.93% for a single person. For families with children, this supplement is zero as the family receives support primarily through the hoousing allowance, family benefits and the refoundable family tax credit.</t>
  </si>
  <si>
    <t>E + C: 12 months in last 36 months</t>
  </si>
  <si>
    <t>Gross (s.t. maximum limit)</t>
  </si>
  <si>
    <t>D: - 9 months if contribution record less than 10 years; 6 months if less than 5 years</t>
  </si>
  <si>
    <t>Gross excluding holiday pay, minus a fraction of employee social contributions</t>
  </si>
  <si>
    <t>G: - If employment record less than 3 years, only the basic benefit is paid for the last 100 days;
D: + longer duration for older workers under cetain conditions</t>
  </si>
  <si>
    <t xml:space="preserve">G: + supplement for children under 18 </t>
  </si>
  <si>
    <t>Τακτική Επιδότηση Ανεργίας</t>
  </si>
  <si>
    <t>G: + benefit amount 10% higher for every dependent family member</t>
  </si>
  <si>
    <t>E + C: 3 in last 12 months (reduced benefit); 12 months in last 12 months (full benefit)</t>
  </si>
  <si>
    <t>G: - record of less than 12 months gives eligibilty to reduced flat-rate benefit: from 25% of full benefit for 3 months of  record to 100% for 12 months</t>
  </si>
  <si>
    <t>G: + supplements for children aged under 18</t>
  </si>
  <si>
    <t>From month 7: 27%</t>
  </si>
  <si>
    <t>G: -/+ initial benefit is from 50% to 65% of reference earnings depending on the total previous contribution record</t>
  </si>
  <si>
    <t>Nedarbo socialinio draudimo išmoka</t>
  </si>
  <si>
    <t>D: + duration extended by 2 months for unemployed within 5 years of retirement age</t>
  </si>
  <si>
    <t>E + C: 12 in last 18 months
W: minimum wage</t>
  </si>
  <si>
    <t>6 or 12 [see columns 12-14]</t>
  </si>
  <si>
    <t>If a jobseeker finds a job before exhausting the unemployment benefit, the unemployed can receive an activation allowance together with earnings for a limited period of time [see "Employment-related provisions"]</t>
  </si>
  <si>
    <t>D: 365 days if over 50 years old with 20+ years of employment record
G: - basic amount adjusted with the length of employment record; 80% with less than 5 years, 100% from 5 to 20 years, 120% for more than 20 years.</t>
  </si>
  <si>
    <t>D: 365 days if has a child and is single or the spouse has exhausted the right to unemployment benefit</t>
  </si>
  <si>
    <t>D: - duration 180 days if unemployment rate in the local area does not exceed 150% of the average unemployment rate in the country; 365 days otherwise</t>
  </si>
  <si>
    <t>Unemployment contributions abolished since 2019; benefit financed from taxes; eligiblity is based on employment history</t>
  </si>
  <si>
    <t>E: 9 months in last 24 months</t>
  </si>
  <si>
    <t>Not permitted, except special types of work (e.g. temporary service contract) with income lower than the average unemployment benefit paid in previous year</t>
  </si>
  <si>
    <t>C: 26 weeks
W: 26 times the weekly amount of the basic insurable earnings and 20 times the weekly amount of the basic insurable earnings in the last year</t>
  </si>
  <si>
    <t>G: + supplements for dependent spouse and children (up to a maximum of 2)</t>
  </si>
  <si>
    <t xml:space="preserve">Requirements in terms of previous employment (E), contributions (C), hours of work (H), and earnings (W) </t>
  </si>
  <si>
    <t>Flat rate of EUR 189.10/month</t>
  </si>
  <si>
    <t>Employment is not permitted</t>
  </si>
  <si>
    <t>Flat-rate of EUR 33.66/day</t>
  </si>
  <si>
    <t>E: + no means test for those aged 55 and over</t>
  </si>
  <si>
    <t>G: + child supplements</t>
  </si>
  <si>
    <t>UI: UI received for 12 month and expired, 20-66 years old</t>
  </si>
  <si>
    <t>UI: UI expired and unemployed for 1 month after that</t>
  </si>
  <si>
    <t xml:space="preserve">Lump-sum of EUR 207.61 (based on basic unemployment benefit; lower in case of part-time or low income worker)
</t>
  </si>
  <si>
    <t>Not compatible with unemployment benefit for long-term unemployed</t>
  </si>
  <si>
    <t>E + C: 60 days in the year before unemployment; unemployed for 3 months</t>
  </si>
  <si>
    <t>3 payments of EUR 239.55 each (based on basic unemployment benefit)</t>
  </si>
  <si>
    <t>not applicable</t>
  </si>
  <si>
    <t>Toimetulekutoetus</t>
  </si>
  <si>
    <t>100% of net earnings in months 1-2 and 50% in months 3-6 if starts a new job</t>
  </si>
  <si>
    <t>Unemployment and family benefits included; some minor benefits excluded</t>
  </si>
  <si>
    <t>0% below earnings disregards, 
100% thereafter</t>
  </si>
  <si>
    <t>All benefits included except for (child) disability allowance, pensioner's care allowance, maternity grant, benefits paid when on activation measures</t>
  </si>
  <si>
    <t>Κοινωνικό Εισόδημα Αλληλεγγύης</t>
  </si>
  <si>
    <t>20% of earned income less contributions; income is reassessed every 6 month, taking up employment within this period does not affect benefit amount</t>
  </si>
  <si>
    <t>0% within 6 months after initial assessment; 80% after</t>
  </si>
  <si>
    <t>All benefits included (except foster care, unemployment training programs payment and non-contributory disability benefits)</t>
  </si>
  <si>
    <t xml:space="preserve">adult children up to 25 years attending education and living alone are counted in their parents' household </t>
  </si>
  <si>
    <t xml:space="preserve">Iceland </t>
  </si>
  <si>
    <t>Local (Reykjavik)</t>
  </si>
  <si>
    <t>December bonus of 25% if duration at least 3 months; ad-hoc support for other expenses (e.g. childcare, funeral)</t>
  </si>
  <si>
    <t xml:space="preserve">Lone parent and unemployment benefits included; family and housing benefits excluded </t>
  </si>
  <si>
    <t>G: - lower rate for cohabiting couples and adult children living with parents</t>
  </si>
  <si>
    <t>National guidelines, but municipalities can set higher levels (Riga)</t>
  </si>
  <si>
    <t>Garantētā minimālā ienākuma pabalsts</t>
  </si>
  <si>
    <t>100%
For those entering work 0% below minimum wage in months 1-3</t>
  </si>
  <si>
    <t>Unemployment and family benefits included (except family state benefit, child birth benefit and some other minor benefits)</t>
  </si>
  <si>
    <t xml:space="preserve">municipalities can set higher benefit for children, persons receiving old-age pension or disability pension. </t>
  </si>
  <si>
    <t>Supplement for pupils</t>
  </si>
  <si>
    <t>Unemployment benefit, alimony advance payments included (some minor benefits excluded)</t>
  </si>
  <si>
    <t>All benefits included (except family 500+ benefit, educational supplement and some minor benefits)</t>
  </si>
  <si>
    <t>Zajamčena minimalna naknada</t>
  </si>
  <si>
    <t>Unemployment benefits, subsidy for stay-at-home parent included; child allowance and some other benefits excluded</t>
  </si>
  <si>
    <t>0% up to EUR 50 per month; 60% up to EUR 200; 80% up to EUR 500; 
100% thereafter</t>
  </si>
  <si>
    <t>Unemployment and family benefits included (childbirth and some other benefits excluded)</t>
  </si>
  <si>
    <t>G: + more generous earnings disregards for adult children in work</t>
  </si>
  <si>
    <t>Finland (Helsinki)</t>
  </si>
  <si>
    <t>Επίδομα Στέγασης</t>
  </si>
  <si>
    <t>Standard amount for each family member regardless of housing characteristics. Cannot be higher than the housing costs.</t>
  </si>
  <si>
    <t>Maximum benefit amount dependent on number of dwellers. Reduced by 11% of income above a threshold.</t>
  </si>
  <si>
    <t>Benefit is estimated as difference between housing costs (up to a maximum standard levels) minus net income of claimant above the guaraneteed minimum income. The average housing costs are used as a proxy maximum limit in the model.</t>
  </si>
  <si>
    <t>Būsto nuomos mokesčio dalies kompensacija</t>
  </si>
  <si>
    <t xml:space="preserve">Means-tested support to cover rental expenses. The amount depends on the value of real estate in the area. </t>
  </si>
  <si>
    <t xml:space="preserve">Assistance for housing heating, cold and hot water (Būsto šildymo, geriamojo ir karšto vandens išlaidų kompensacijos) </t>
  </si>
  <si>
    <t xml:space="preserve">Benefit based on the difference between what is considered a reasonable payment for a family and actual housing costs. Housing costs cannot exceed a maximum amount, calculated based on the size of the family and the size of the flat. Families are expected to contribute to their housing costs (10-20%). </t>
  </si>
  <si>
    <t>Additional support for those on social assistance. The minimum standard amount of the benefit is up to half ofof the guaranteed minimum benefit received by the family. Local government can grant a higher amount.</t>
  </si>
  <si>
    <t>Cyprus (Nicosia)</t>
  </si>
  <si>
    <t xml:space="preserve"> + for third and subsequent children</t>
  </si>
  <si>
    <r>
      <t>Large family supplement to child allowance (</t>
    </r>
    <r>
      <rPr>
        <i/>
        <sz val="9"/>
        <rFont val="Arial"/>
        <family val="2"/>
      </rPr>
      <t>lapsetoetus</t>
    </r>
    <r>
      <rPr>
        <sz val="9"/>
        <rFont val="Arial"/>
        <family val="2"/>
      </rPr>
      <t>)</t>
    </r>
  </si>
  <si>
    <t>For families with 3+ children</t>
  </si>
  <si>
    <t xml:space="preserve"> -- for family with 3-6 children; + for 7 children and more</t>
  </si>
  <si>
    <t>Only if the other parent is missing</t>
  </si>
  <si>
    <t>Tax allowance on dependants</t>
  </si>
  <si>
    <t>For working parents starting from the second child</t>
  </si>
  <si>
    <r>
      <t xml:space="preserve">Home care allowance </t>
    </r>
    <r>
      <rPr>
        <i/>
        <sz val="9"/>
        <rFont val="Arial"/>
        <family val="2"/>
      </rPr>
      <t>(lasten kotihoidon tuki)</t>
    </r>
  </si>
  <si>
    <t xml:space="preserve">at least one child is less than 3 years old; a parent takes care of the child at home. </t>
  </si>
  <si>
    <t xml:space="preserve"> - for 3-6 year olds</t>
  </si>
  <si>
    <t xml:space="preserve"> - for second and other children</t>
  </si>
  <si>
    <t>Supplement to home care allowance (lasten kotihoidon tuki)</t>
  </si>
  <si>
    <t xml:space="preserve">a parent takes care of the child at home. </t>
  </si>
  <si>
    <t>Reduced by 7.9-11.5% of reference income above the disregards</t>
  </si>
  <si>
    <t>Municipality supplement  to home care allowance (lasten kotihoidon tuki)</t>
  </si>
  <si>
    <t xml:space="preserve"> a parent takes care of the child at home. </t>
  </si>
  <si>
    <r>
      <t xml:space="preserve">Flexible care allowance </t>
    </r>
    <r>
      <rPr>
        <i/>
        <sz val="9"/>
        <rFont val="Arial"/>
        <family val="2"/>
      </rPr>
      <t>(Joustava hoitoraha)</t>
    </r>
  </si>
  <si>
    <t xml:space="preserve">a parent takes care for a child at home and works no more than 30 hours per week </t>
  </si>
  <si>
    <r>
      <t xml:space="preserve">Partial care allowance </t>
    </r>
    <r>
      <rPr>
        <i/>
        <sz val="9"/>
        <rFont val="Arial"/>
        <family val="2"/>
      </rPr>
      <t>(Osittainen hoitoraha)</t>
    </r>
  </si>
  <si>
    <t>Person liable to pay maintenance payment neglects this duty</t>
  </si>
  <si>
    <r>
      <t>Child allowance (</t>
    </r>
    <r>
      <rPr>
        <i/>
        <sz val="9"/>
        <rFont val="Arial"/>
        <family val="2"/>
      </rPr>
      <t>Επίδομα Παιδιού</t>
    </r>
    <r>
      <rPr>
        <sz val="9"/>
        <rFont val="Arial"/>
        <family val="2"/>
      </rPr>
      <t>)</t>
    </r>
  </si>
  <si>
    <t xml:space="preserve"> + for the third and subsequent child</t>
  </si>
  <si>
    <t xml:space="preserve"> + </t>
  </si>
  <si>
    <t>Reduced by EUR 20 for every EUR 1000 of taxable income above the limit</t>
  </si>
  <si>
    <t>Couples</t>
  </si>
  <si>
    <t xml:space="preserve"> 4% for 1-child families, 6% for 2 children, 8% for 3 or more children
Plus 1.5% for high income</t>
  </si>
  <si>
    <r>
      <t>Supplement for children under 7 to family benefit (</t>
    </r>
    <r>
      <rPr>
        <i/>
        <sz val="9"/>
        <rFont val="Arial"/>
        <family val="2"/>
      </rPr>
      <t>barnabætur</t>
    </r>
    <r>
      <rPr>
        <sz val="9"/>
        <rFont val="Arial"/>
        <family val="2"/>
      </rPr>
      <t>)</t>
    </r>
  </si>
  <si>
    <t>4% plus 1.5% for high income</t>
  </si>
  <si>
    <r>
      <t>Family benefit (</t>
    </r>
    <r>
      <rPr>
        <i/>
        <sz val="9"/>
        <rFont val="Arial"/>
        <family val="2"/>
      </rPr>
      <t>barnabætur</t>
    </r>
    <r>
      <rPr>
        <sz val="9"/>
        <rFont val="Arial"/>
        <family val="2"/>
      </rPr>
      <t>) for lone parents</t>
    </r>
  </si>
  <si>
    <t>+ for third child, no benefit for other children</t>
  </si>
  <si>
    <r>
      <t xml:space="preserve">Childcare benefit </t>
    </r>
    <r>
      <rPr>
        <i/>
        <sz val="9"/>
        <rFont val="Arial"/>
        <family val="2"/>
      </rPr>
      <t>(Bērna kopšanas pabalsts)</t>
    </r>
  </si>
  <si>
    <t>Tax Allowance for dependants</t>
  </si>
  <si>
    <t>one of the parents does not fulfil their obligations</t>
  </si>
  <si>
    <r>
      <t>Child benefit (</t>
    </r>
    <r>
      <rPr>
        <i/>
        <sz val="9"/>
        <rFont val="Arial"/>
        <family val="2"/>
      </rPr>
      <t>išmoka vaikui</t>
    </r>
    <r>
      <rPr>
        <sz val="9"/>
        <rFont val="Arial"/>
        <family val="2"/>
      </rPr>
      <t>) - universal part</t>
    </r>
  </si>
  <si>
    <r>
      <t xml:space="preserve">Supplement to child benefit </t>
    </r>
    <r>
      <rPr>
        <i/>
        <sz val="9"/>
        <rFont val="Arial"/>
        <family val="2"/>
      </rPr>
      <t>(išmoka vaikui)</t>
    </r>
  </si>
  <si>
    <r>
      <t>Family allowance (</t>
    </r>
    <r>
      <rPr>
        <i/>
        <sz val="9"/>
        <rFont val="Arial"/>
        <family val="2"/>
      </rPr>
      <t>zasiłek rodzinny</t>
    </r>
    <r>
      <rPr>
        <sz val="9"/>
        <rFont val="Arial"/>
        <family val="2"/>
      </rPr>
      <t>)</t>
    </r>
  </si>
  <si>
    <t xml:space="preserve"> 0 for the second child; no benefit for other children</t>
  </si>
  <si>
    <r>
      <t>Supplement to family benefit (</t>
    </r>
    <r>
      <rPr>
        <i/>
        <sz val="9"/>
        <rFont val="Arial"/>
        <family val="2"/>
      </rPr>
      <t>zasiłek rodzinny</t>
    </r>
    <r>
      <rPr>
        <sz val="9"/>
        <rFont val="Arial"/>
        <family val="2"/>
      </rPr>
      <t>) for a large family</t>
    </r>
  </si>
  <si>
    <t>3+ children</t>
  </si>
  <si>
    <r>
      <t>Supplement at beginning of the school year to family benefit (</t>
    </r>
    <r>
      <rPr>
        <i/>
        <sz val="9"/>
        <rFont val="Arial"/>
        <family val="2"/>
      </rPr>
      <t>zasiłek rodzinny</t>
    </r>
    <r>
      <rPr>
        <sz val="9"/>
        <rFont val="Arial"/>
        <family val="2"/>
      </rPr>
      <t>)</t>
    </r>
  </si>
  <si>
    <t>for school children</t>
  </si>
  <si>
    <r>
      <t>Supplement to family benefit (</t>
    </r>
    <r>
      <rPr>
        <i/>
        <sz val="9"/>
        <rFont val="Arial"/>
        <family val="2"/>
      </rPr>
      <t>zasiłek rodzinny</t>
    </r>
    <r>
      <rPr>
        <sz val="9"/>
        <rFont val="Arial"/>
        <family val="2"/>
      </rPr>
      <t>) for childcare</t>
    </r>
  </si>
  <si>
    <r>
      <t xml:space="preserve">Family 500 Plus Programme </t>
    </r>
    <r>
      <rPr>
        <i/>
        <sz val="9"/>
        <rFont val="Arial"/>
        <family val="2"/>
      </rPr>
      <t>(Program Rodzina 500 Plus, świadczenie wychowawcze)</t>
    </r>
  </si>
  <si>
    <r>
      <t xml:space="preserve">Benefit “Good start” </t>
    </r>
    <r>
      <rPr>
        <i/>
        <sz val="9"/>
        <rFont val="Arial"/>
        <family val="2"/>
      </rPr>
      <t>(Program “Dobry start”)</t>
    </r>
  </si>
  <si>
    <t>Child tax credit (refundable)</t>
  </si>
  <si>
    <t>0 for first two children, + for third and subsequent</t>
  </si>
  <si>
    <t>For one child - fully withdrawn once income exceeds disregard</t>
  </si>
  <si>
    <r>
      <t>Child allowance (</t>
    </r>
    <r>
      <rPr>
        <i/>
        <sz val="9"/>
        <rFont val="Arial"/>
        <family val="2"/>
      </rPr>
      <t>doplatak za djecu</t>
    </r>
    <r>
      <rPr>
        <sz val="9"/>
        <rFont val="Arial"/>
        <family val="2"/>
      </rPr>
      <t>)</t>
    </r>
  </si>
  <si>
    <t>17(19)</t>
  </si>
  <si>
    <t>Subsistence benefit (toimetulekutoetus)</t>
  </si>
  <si>
    <t>Retain previous social assistance benefit amount for 2 months; in months 3-6 reduced amount</t>
  </si>
  <si>
    <t>Earned income tax allowance (local taxation)</t>
  </si>
  <si>
    <t>Targeted tax allowance</t>
  </si>
  <si>
    <t>51% of gross earnings</t>
  </si>
  <si>
    <t>Earned income tax credit (national taxation)</t>
  </si>
  <si>
    <t>Targeted non-refundable tax credit</t>
  </si>
  <si>
    <r>
      <t xml:space="preserve">Social Solidarity Income </t>
    </r>
    <r>
      <rPr>
        <i/>
        <sz val="9"/>
        <rFont val="Arial"/>
        <family val="2"/>
      </rPr>
      <t>(Κοινωνικό Εισόδημα Αλληλεγγύης)</t>
    </r>
  </si>
  <si>
    <t>Retain previous social assistance benefit up to 6 months</t>
  </si>
  <si>
    <r>
      <t xml:space="preserve">Housing Benefit </t>
    </r>
    <r>
      <rPr>
        <i/>
        <sz val="9"/>
        <rFont val="Arial"/>
        <family val="2"/>
      </rPr>
      <t>(Επίδομα Στέγασης)</t>
    </r>
  </si>
  <si>
    <t>Re-employment provision in housing benefit</t>
  </si>
  <si>
    <t>Housing benefit recipients moving into work</t>
  </si>
  <si>
    <t>Retain previous housing benefit up to 6 months</t>
  </si>
  <si>
    <r>
      <t xml:space="preserve">Additional Social Benefit </t>
    </r>
    <r>
      <rPr>
        <i/>
        <sz val="9"/>
        <rFont val="Arial"/>
        <family val="2"/>
      </rPr>
      <t>(Papildomai skiriama socialinė pašalpa)</t>
    </r>
  </si>
  <si>
    <r>
      <t xml:space="preserve">Activation allowance for recipient of unemployment benefit </t>
    </r>
    <r>
      <rPr>
        <i/>
        <sz val="9"/>
        <rFont val="Arial"/>
        <family val="2"/>
      </rPr>
      <t xml:space="preserve">(Zasiłek dla bezrobotnych) </t>
    </r>
  </si>
  <si>
    <t>half of remaining unemployment benenfit duration</t>
  </si>
  <si>
    <t>50% of previous unemployment benefit</t>
  </si>
  <si>
    <t>T, S (only for health)</t>
  </si>
  <si>
    <t>2. For country-specific information also refer to the country chapters (http://www.oecd.org/social/benefits-and-wages/benefits-and-wages-country-specific-information.htm); for methodogical questions refer to the methodology document (http://www.oecd.org/social/benefits-and-wages/OECD-TaxBEN-methodology-and-manual.pdf).</t>
  </si>
  <si>
    <t>3. The table "Family provisions" includes benefits and provisions for families and lone parents and covers the classical family benefits. It also includes family-specific provisions that work through the tax system (like tax allowances and tax credits).</t>
  </si>
  <si>
    <t>4. The table "Employmentrelated provisions" includes benefits and provisions for the employed. It includes in-work benefits, re-employment allowances, provisions through the tax system (like tax allowances and earned income tax credits), preferential treatment of earnings in the means tests of unemployment and social assistance benefits, and schemes available for working parents.</t>
  </si>
  <si>
    <t>Various provisions for families are conditional on the parents working. Such provisions will show in the table "Family provisions" and the table "Employment-related provisions".</t>
  </si>
  <si>
    <t>Average Wage 2020</t>
  </si>
  <si>
    <t>3.  All amounts are shown on an annualised basis. AW = Average Wage of a full-time private sector employee.</t>
  </si>
  <si>
    <t>4. BEL: Maximum benefit ceiling refers to the first six months of unemployment; benefit floor refers to a flat rate paid from the 5th year of unemployment on.</t>
  </si>
  <si>
    <r>
      <t>Canada</t>
    </r>
    <r>
      <rPr>
        <vertAlign val="superscript"/>
        <sz val="9"/>
        <rFont val="Arial"/>
        <family val="2"/>
      </rPr>
      <t>(5)</t>
    </r>
  </si>
  <si>
    <r>
      <t>United States</t>
    </r>
    <r>
      <rPr>
        <vertAlign val="superscript"/>
        <sz val="9"/>
        <rFont val="Arial"/>
        <family val="2"/>
      </rPr>
      <t>(6)</t>
    </r>
  </si>
  <si>
    <r>
      <t>Malta</t>
    </r>
    <r>
      <rPr>
        <vertAlign val="superscript"/>
        <sz val="9"/>
        <rFont val="Arial"/>
        <family val="2"/>
      </rPr>
      <t>(7)</t>
    </r>
  </si>
  <si>
    <t>7. MLT: Minimum benefit refers to contributory unemployment benefit, maximum benefit to special unemployment benefit</t>
  </si>
  <si>
    <r>
      <t>Where relevant, data refer to a prime-age single individual (40 years old) without children with an uninterrupted employment record of 22 years. Entitlements can differ for other groups of workers, see columns 12-14.</t>
    </r>
    <r>
      <rPr>
        <vertAlign val="superscript"/>
        <sz val="10"/>
        <rFont val="Arial"/>
        <family val="2"/>
      </rPr>
      <t>(1)</t>
    </r>
  </si>
  <si>
    <r>
      <t>Where relevant, data refer to a prime-age single individual (40 years old) without children with an uninterrupted employment record of 22 years. Entitlements can differ for other groups of workers, see columns 11-13.</t>
    </r>
    <r>
      <rPr>
        <vertAlign val="superscript"/>
        <sz val="10"/>
        <rFont val="Arial"/>
        <family val="2"/>
      </rPr>
      <t>(1)</t>
    </r>
  </si>
  <si>
    <r>
      <t>Calculation base</t>
    </r>
    <r>
      <rPr>
        <vertAlign val="superscript"/>
        <sz val="10"/>
        <rFont val="Arial"/>
        <family val="2"/>
      </rPr>
      <t>(2)</t>
    </r>
  </si>
  <si>
    <t xml:space="preserve">i) participation in employment measures: E: + no means test; G: + increased amount
ii) first time entrants to the labour market: G: - reduced amount; D: - 5-month  qualifying period, unless recently graduated </t>
  </si>
  <si>
    <r>
      <t>Spain</t>
    </r>
    <r>
      <rPr>
        <vertAlign val="superscript"/>
        <sz val="9"/>
        <rFont val="Arial"/>
        <family val="2"/>
      </rPr>
      <t>(6)</t>
    </r>
  </si>
  <si>
    <r>
      <t>Minimum income benefits that employ a low-income criterion as the central entitlement condition</t>
    </r>
    <r>
      <rPr>
        <vertAlign val="superscript"/>
        <sz val="12"/>
        <color theme="1"/>
        <rFont val="Arial"/>
        <family val="2"/>
      </rPr>
      <t>(1)</t>
    </r>
  </si>
  <si>
    <t>3. All amounts are shown on an annualised basis. AW = Average Wage of a full-time private sector employee. Actual rent is set to zero. Social assistance per child is calculated as 50% of the difference between the social assistance benefits that accrue to a couple with two children aged four and six and that received by a couple without children. Similarly, child-related payments for lone parents are calculated as 50% of the difference between the social assistance benefits that accrue to a lone parent with two children aged four and six and that received by a single person without children.</t>
  </si>
  <si>
    <t>Regional (Vienna)</t>
  </si>
  <si>
    <t>Regional (Tokyo)</t>
  </si>
  <si>
    <t>Regional (Madrid)</t>
  </si>
  <si>
    <r>
      <t>Description of regular housing benefit</t>
    </r>
    <r>
      <rPr>
        <vertAlign val="superscript"/>
        <sz val="9"/>
        <rFont val="Arial"/>
        <family val="2"/>
      </rPr>
      <t>(2)</t>
    </r>
  </si>
  <si>
    <r>
      <t xml:space="preserve">2. In some countries other schemes exist that aim at specific groups, </t>
    </r>
    <r>
      <rPr>
        <i/>
        <sz val="9"/>
        <rFont val="Arial"/>
        <family val="2"/>
      </rPr>
      <t>e.g.</t>
    </r>
    <r>
      <rPr>
        <sz val="9"/>
        <rFont val="Arial"/>
        <family val="2"/>
      </rPr>
      <t xml:space="preserve"> students, elderly or disabled. They are not included in this table.</t>
    </r>
  </si>
  <si>
    <r>
      <t>Austria</t>
    </r>
    <r>
      <rPr>
        <vertAlign val="superscript"/>
        <sz val="9"/>
        <rFont val="Arial"/>
        <family val="2"/>
      </rPr>
      <t xml:space="preserve">(4) </t>
    </r>
    <r>
      <rPr>
        <sz val="9"/>
        <rFont val="Arial"/>
        <family val="2"/>
      </rPr>
      <t>(Vienna)</t>
    </r>
  </si>
  <si>
    <t>Latvia (Riga)</t>
  </si>
  <si>
    <r>
      <t>Czech Republic</t>
    </r>
    <r>
      <rPr>
        <vertAlign val="superscript"/>
        <sz val="9"/>
        <rFont val="Arial"/>
        <family val="2"/>
      </rPr>
      <t>(5)</t>
    </r>
  </si>
  <si>
    <t>5. CZE: Municipality size of 50 000 to 99 999 inhabitants is chosen.</t>
  </si>
  <si>
    <t xml:space="preserve">3. All amounts are shown on an annualised basis. AW = Average Wage of a full-time private sector employee. If not otherwise specificed, results refer to a couple with two children aged 4 and 6, with annual housing costs equal to 20% of the average wage. </t>
  </si>
  <si>
    <t>Germany (Berlin)</t>
  </si>
  <si>
    <t>New Zealand (Wellington)</t>
  </si>
  <si>
    <t>7. For the Local Housing Allowance in the United Kingdom eligible housing costs for the broad rental market in the Maidstone region are chosen as a reference.</t>
  </si>
  <si>
    <r>
      <t>United Kingdom</t>
    </r>
    <r>
      <rPr>
        <vertAlign val="superscript"/>
        <sz val="9"/>
        <rFont val="Arial"/>
        <family val="2"/>
      </rPr>
      <t>(7)</t>
    </r>
  </si>
  <si>
    <t>Income disregard (annual)</t>
  </si>
  <si>
    <r>
      <t>Family and Lone Parent benefits</t>
    </r>
    <r>
      <rPr>
        <b/>
        <vertAlign val="superscript"/>
        <sz val="14"/>
        <rFont val="Arial"/>
        <family val="2"/>
      </rPr>
      <t>(1)</t>
    </r>
  </si>
  <si>
    <r>
      <t>Benefit amount</t>
    </r>
    <r>
      <rPr>
        <vertAlign val="superscript"/>
        <sz val="9"/>
        <rFont val="Arial"/>
        <family val="2"/>
      </rPr>
      <t>(2)</t>
    </r>
  </si>
  <si>
    <r>
      <t>United States</t>
    </r>
    <r>
      <rPr>
        <vertAlign val="superscript"/>
        <sz val="9"/>
        <rFont val="Arial"/>
        <family val="2"/>
      </rPr>
      <t>(11)</t>
    </r>
  </si>
  <si>
    <t>Canada 
(Ontario)</t>
  </si>
  <si>
    <r>
      <t>Program name (local name in parentheses if available)</t>
    </r>
    <r>
      <rPr>
        <vertAlign val="superscript"/>
        <sz val="9"/>
        <rFont val="Arial"/>
        <family val="2"/>
      </rPr>
      <t>(2)</t>
    </r>
  </si>
  <si>
    <r>
      <t>Employment-conditional benefits, re-employment allowances and additional entitlements for working families in other areas of the benefit system</t>
    </r>
    <r>
      <rPr>
        <b/>
        <vertAlign val="superscript"/>
        <sz val="14"/>
        <rFont val="Arial"/>
        <family val="2"/>
      </rPr>
      <t>(1)</t>
    </r>
  </si>
  <si>
    <t>Income assessment unit</t>
  </si>
  <si>
    <t>2. Working families may also receive support through the benefits described in other sheets, but these are not included here unless families receive a larger amount of benefit if their hours or earnings are above a particular level. Non-general schemes that are specifically targeted towards younger or older age-groups are not shown.</t>
  </si>
  <si>
    <t>3. All amounts are shown on an annualised basis.</t>
  </si>
  <si>
    <r>
      <t>Benefit calculation</t>
    </r>
    <r>
      <rPr>
        <vertAlign val="superscript"/>
        <sz val="9"/>
        <color theme="1"/>
        <rFont val="Arial"/>
        <family val="2"/>
      </rPr>
      <t>(3)</t>
    </r>
  </si>
  <si>
    <r>
      <t>Norway</t>
    </r>
    <r>
      <rPr>
        <vertAlign val="superscript"/>
        <sz val="9"/>
        <rFont val="Arial"/>
        <family val="2"/>
      </rPr>
      <t>(4)</t>
    </r>
  </si>
  <si>
    <t>4. AUS: Recipients of NSA, YA and PP are furthermore entitiled to Clean Energy Advance, Clean Energy Supplement to offset the impacts of carbon pricing introduced in July 2012 and the Income Support bonus to assist with unexpected costs.</t>
  </si>
  <si>
    <t xml:space="preserve">5. DEU: As of 1st January 2005, unemployment assistance and social assistance for persons who are able to work were combined into one benefit, the basic jobseeker's allowance (unemployment benefit II). The benefit is available for persons who are able to work and whose income is not sufficient to secure their own and their family's livelihood. Persons beyond working age or who are not able to work are eligible to social assistance (Sozialhilfe), which is based on the same basic amounts as unemployment benefit II. </t>
  </si>
  <si>
    <t xml:space="preserve">6. ESP: The information refers to a joobseeker aged 45 or older who has exhausted their UI benefit. </t>
  </si>
  <si>
    <r>
      <t>Spain</t>
    </r>
    <r>
      <rPr>
        <sz val="10"/>
        <color theme="1"/>
        <rFont val="Arial"/>
        <family val="2"/>
      </rPr>
      <t/>
    </r>
  </si>
  <si>
    <t>6. USA: The information reflects the situation of the Michigan unemployment benefit scheme. Emergency Unemployment Compensation and Extended Benefits might be paid after exhaustion of regular UI but were not activated in 2020.</t>
  </si>
  <si>
    <t>11. USA: Amounts shown for Supplemental Nutrition Assistance Program (SNAP) only. See sheet "Familiy provisions" table for information on the Temporary Assistance for Needy Families (TANF) programme.</t>
  </si>
  <si>
    <r>
      <t>Ireland</t>
    </r>
    <r>
      <rPr>
        <vertAlign val="superscript"/>
        <sz val="9"/>
        <rFont val="Arial"/>
        <family val="2"/>
      </rPr>
      <t>(5)</t>
    </r>
  </si>
  <si>
    <r>
      <t>United 
Kingdom</t>
    </r>
    <r>
      <rPr>
        <vertAlign val="superscript"/>
        <sz val="9"/>
        <rFont val="Arial"/>
        <family val="2"/>
      </rPr>
      <t>(8)</t>
    </r>
  </si>
  <si>
    <r>
      <t>United 
States</t>
    </r>
    <r>
      <rPr>
        <vertAlign val="superscript"/>
        <sz val="9"/>
        <rFont val="Arial"/>
        <family val="2"/>
      </rPr>
      <t>(9)</t>
    </r>
  </si>
  <si>
    <t xml:space="preserve">5. IRE: Complete phase-out of WFP shown for family with one child. </t>
  </si>
  <si>
    <t>6. ISR: Phase out of non-wastable earned income tax shown for a family with up to two children.</t>
  </si>
  <si>
    <r>
      <t>Ireland</t>
    </r>
    <r>
      <rPr>
        <vertAlign val="superscript"/>
        <sz val="9"/>
        <rFont val="Arial"/>
        <family val="2"/>
      </rPr>
      <t>(6)</t>
    </r>
  </si>
  <si>
    <r>
      <t>Israel</t>
    </r>
    <r>
      <rPr>
        <vertAlign val="superscript"/>
        <sz val="9"/>
        <rFont val="Arial"/>
        <family val="2"/>
      </rPr>
      <t>(7)</t>
    </r>
  </si>
  <si>
    <r>
      <t>United States
(Michigan)</t>
    </r>
    <r>
      <rPr>
        <vertAlign val="superscript"/>
        <sz val="9"/>
        <rFont val="Arial"/>
        <family val="2"/>
      </rPr>
      <t>(9)</t>
    </r>
  </si>
  <si>
    <r>
      <t>United States</t>
    </r>
    <r>
      <rPr>
        <vertAlign val="superscript"/>
        <sz val="9"/>
        <rFont val="Arial"/>
        <family val="2"/>
      </rPr>
      <t>(10)</t>
    </r>
  </si>
  <si>
    <t>6. IRE: Only the child increment and not the parent benefit rate is shown as the maximum benefit for the one-parent family payment and Jobseeker's Transitional Payment.</t>
  </si>
  <si>
    <t>7. ISR: Child allowance for children born on or after 1 June 2003, maximum benefit for a child below age 5.</t>
  </si>
  <si>
    <t xml:space="preserve">8. UK, column 11-15: One-earner family with two children who do not claim support for housing costs. </t>
  </si>
  <si>
    <t>9. USA: TANF rate for family of two, i.e. lone parent with one child.</t>
  </si>
  <si>
    <t>10. USA: Allowance for lone parents assumes lowest credit at the lowest 10% marginal tax rate.</t>
  </si>
  <si>
    <t>Preogramme described in the  section "Social Assistance"</t>
  </si>
  <si>
    <t>Data for 2020 polices are not yet available.</t>
  </si>
  <si>
    <t xml:space="preserve">7. GBR: Maximum amount and phase-out are shown for a one-earner couple with two children. </t>
  </si>
  <si>
    <t xml:space="preserve">8. USA: TANF means test for Michigan, phase-out for a single parent with two children.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</si>
</sst>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164" formatCode="_(&quot;€&quot;* #,##0_);_(&quot;€&quot;* \(#,##0\);_(&quot;€&quot;* &quot;-&quot;_);_(@_)"/>
    <numFmt numFmtId="165" formatCode="0.0%"/>
    <numFmt numFmtId="166" formatCode="0.0"/>
    <numFmt numFmtId="167" formatCode="[$$-409]#,##0"/>
    <numFmt numFmtId="168" formatCode="&quot;€&quot;#,##0"/>
    <numFmt numFmtId="169" formatCode="#,##0\ [$Kč-405]"/>
    <numFmt numFmtId="170" formatCode="[$kr.-406]\ #,##0"/>
    <numFmt numFmtId="171" formatCode="#,##0\ [$Ft-40E]"/>
    <numFmt numFmtId="172" formatCode="#,##0\ [$kr.-40F]"/>
    <numFmt numFmtId="173" formatCode="[$₪-40D]\ #,##0"/>
    <numFmt numFmtId="174" formatCode="[$¥-411]#,##0"/>
    <numFmt numFmtId="175" formatCode="[$₩-412]#,##0"/>
    <numFmt numFmtId="176" formatCode="[$kr-414]\ #,##0"/>
    <numFmt numFmtId="177" formatCode="#,##0\ [$zł-415]"/>
    <numFmt numFmtId="178" formatCode="[$fr.-100C]\ #,##0"/>
    <numFmt numFmtId="179" formatCode="#,##0\ [$₺-41F]"/>
    <numFmt numFmtId="180" formatCode="[$£-809]#,##0"/>
    <numFmt numFmtId="181" formatCode="#,##0\ [$лв.-402]"/>
    <numFmt numFmtId="182" formatCode="#,##0\ [$kn-41A]"/>
    <numFmt numFmtId="183" formatCode="#,##0\ [$lei-418]"/>
    <numFmt numFmtId="184" formatCode="0.000"/>
  </numFmts>
  <fonts count="24" x14ac:knownFonts="1">
    <font>
      <sz val="10"/>
      <color theme="1"/>
      <name val="Arial"/>
      <family val="2"/>
    </font>
    <font>
      <sz val="10"/>
      <color theme="1"/>
      <name val="Arial"/>
      <family val="2"/>
    </font>
    <font>
      <sz val="10"/>
      <color rgb="FF006100"/>
      <name val="Arial"/>
      <family val="2"/>
    </font>
    <font>
      <i/>
      <sz val="9"/>
      <name val="Arial"/>
      <family val="2"/>
    </font>
    <font>
      <sz val="9"/>
      <name val="Arial"/>
      <family val="2"/>
    </font>
    <font>
      <u/>
      <sz val="9"/>
      <color theme="10"/>
      <name val="Arial"/>
      <family val="2"/>
    </font>
    <font>
      <b/>
      <sz val="14"/>
      <name val="Arial"/>
      <family val="2"/>
    </font>
    <font>
      <sz val="14"/>
      <name val="Arial"/>
      <family val="2"/>
    </font>
    <font>
      <sz val="10"/>
      <name val="Arial"/>
      <family val="2"/>
    </font>
    <font>
      <vertAlign val="superscript"/>
      <sz val="10"/>
      <name val="Arial"/>
      <family val="2"/>
    </font>
    <font>
      <b/>
      <sz val="9"/>
      <name val="Arial"/>
      <family val="2"/>
    </font>
    <font>
      <vertAlign val="superscript"/>
      <sz val="9"/>
      <name val="Arial"/>
      <family val="2"/>
    </font>
    <font>
      <u/>
      <sz val="9"/>
      <color rgb="FF0000FF"/>
      <name val="Arial"/>
      <family val="2"/>
    </font>
    <font>
      <sz val="9"/>
      <color theme="1"/>
      <name val="Arial"/>
      <family val="2"/>
    </font>
    <font>
      <b/>
      <sz val="9"/>
      <color indexed="81"/>
      <name val="Tahoma"/>
      <family val="2"/>
    </font>
    <font>
      <sz val="9"/>
      <color indexed="81"/>
      <name val="Tahoma"/>
      <family val="2"/>
    </font>
    <font>
      <i/>
      <sz val="10"/>
      <name val="Arial"/>
      <family val="2"/>
    </font>
    <font>
      <b/>
      <vertAlign val="superscript"/>
      <sz val="14"/>
      <name val="Arial"/>
      <family val="2"/>
    </font>
    <font>
      <vertAlign val="superscript"/>
      <sz val="9"/>
      <color theme="1"/>
      <name val="Arial"/>
      <family val="2"/>
    </font>
    <font>
      <i/>
      <sz val="10"/>
      <color theme="1"/>
      <name val="Arial"/>
      <family val="2"/>
    </font>
    <font>
      <sz val="12"/>
      <color theme="1"/>
      <name val="Arial"/>
      <family val="2"/>
    </font>
    <font>
      <sz val="11"/>
      <color theme="1"/>
      <name val="Times New Roman"/>
      <family val="1"/>
    </font>
    <font>
      <i/>
      <sz val="9"/>
      <name val="Calibri"/>
      <family val="2"/>
      <scheme val="minor"/>
    </font>
    <font>
      <vertAlign val="superscript"/>
      <sz val="12"/>
      <color theme="1"/>
      <name val="Arial"/>
      <family val="2"/>
    </font>
  </fonts>
  <fills count="4">
    <fill>
      <patternFill patternType="none"/>
    </fill>
    <fill>
      <patternFill patternType="gray125"/>
    </fill>
    <fill>
      <patternFill patternType="solid">
        <fgColor rgb="FFC6EFCE"/>
      </patternFill>
    </fill>
    <fill>
      <patternFill patternType="solid">
        <fgColor theme="0"/>
        <bgColor indexed="64"/>
      </patternFill>
    </fill>
  </fills>
  <borders count="1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6">
    <xf numFmtId="0" fontId="0" fillId="0" borderId="0"/>
    <xf numFmtId="9" fontId="1" fillId="0" borderId="0" applyFont="0" applyFill="0" applyBorder="0" applyAlignment="0" applyProtection="0"/>
    <xf numFmtId="0" fontId="2" fillId="2" borderId="0" applyNumberFormat="0" applyBorder="0" applyAlignment="0" applyProtection="0"/>
    <xf numFmtId="0" fontId="5" fillId="0" borderId="0" applyNumberFormat="0" applyFill="0" applyBorder="0" applyAlignment="0" applyProtection="0"/>
    <xf numFmtId="0" fontId="1" fillId="0" borderId="0"/>
    <xf numFmtId="0" fontId="4" fillId="0" borderId="0"/>
  </cellStyleXfs>
  <cellXfs count="672">
    <xf numFmtId="0" fontId="0" fillId="0" borderId="0" xfId="0"/>
    <xf numFmtId="0" fontId="3" fillId="0" borderId="0" xfId="0" applyFont="1" applyFill="1"/>
    <xf numFmtId="0" fontId="4" fillId="0" borderId="0" xfId="0" quotePrefix="1" applyFont="1"/>
    <xf numFmtId="0" fontId="3" fillId="0" borderId="0" xfId="0" applyFont="1" applyAlignment="1">
      <alignment horizontal="left" vertical="top"/>
    </xf>
    <xf numFmtId="0" fontId="3" fillId="0" borderId="0" xfId="0" applyFont="1" applyFill="1" applyAlignment="1">
      <alignment horizontal="left" vertical="center"/>
    </xf>
    <xf numFmtId="0" fontId="5" fillId="3" borderId="0" xfId="3" applyFill="1" applyBorder="1" applyAlignment="1" applyProtection="1">
      <alignment horizontal="left" vertical="center"/>
    </xf>
    <xf numFmtId="0" fontId="4" fillId="0" borderId="0" xfId="0" applyFont="1" applyFill="1" applyAlignment="1">
      <alignment horizontal="left" vertical="center"/>
    </xf>
    <xf numFmtId="0" fontId="4" fillId="0" borderId="1" xfId="0" applyNumberFormat="1" applyFont="1" applyFill="1" applyBorder="1" applyAlignment="1">
      <alignment horizontal="left" vertical="center"/>
    </xf>
    <xf numFmtId="0" fontId="0" fillId="0" borderId="0" xfId="0" applyNumberFormat="1" applyFill="1" applyAlignment="1">
      <alignment horizontal="left" vertical="top"/>
    </xf>
    <xf numFmtId="0" fontId="4" fillId="0" borderId="0" xfId="0" applyNumberFormat="1" applyFont="1" applyFill="1" applyBorder="1"/>
    <xf numFmtId="0" fontId="0" fillId="0" borderId="0" xfId="0" applyNumberFormat="1" applyFill="1"/>
    <xf numFmtId="0" fontId="4" fillId="0" borderId="1" xfId="0" applyNumberFormat="1" applyFont="1" applyFill="1" applyBorder="1"/>
    <xf numFmtId="0" fontId="8" fillId="0" borderId="7" xfId="0" applyFont="1" applyFill="1" applyBorder="1" applyAlignment="1">
      <alignment horizontal="center" vertical="center" wrapText="1"/>
    </xf>
    <xf numFmtId="0" fontId="4" fillId="0" borderId="1" xfId="0" applyFont="1" applyFill="1" applyBorder="1"/>
    <xf numFmtId="0" fontId="8" fillId="0" borderId="14"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4" fillId="0" borderId="15" xfId="0" applyFont="1" applyFill="1" applyBorder="1" applyAlignment="1">
      <alignment vertical="top"/>
    </xf>
    <xf numFmtId="9" fontId="4" fillId="0" borderId="0" xfId="1" applyFont="1" applyFill="1" applyBorder="1" applyAlignment="1">
      <alignment horizontal="left" vertical="top" wrapText="1"/>
    </xf>
    <xf numFmtId="9" fontId="4" fillId="0" borderId="9" xfId="1" applyFont="1" applyFill="1" applyBorder="1" applyAlignment="1">
      <alignment horizontal="left" vertical="top" wrapText="1"/>
    </xf>
    <xf numFmtId="0" fontId="10" fillId="0" borderId="0" xfId="4" applyFont="1" applyFill="1" applyBorder="1" applyAlignment="1">
      <alignment vertical="top"/>
    </xf>
    <xf numFmtId="0" fontId="0" fillId="0" borderId="0" xfId="0" applyFill="1" applyBorder="1"/>
    <xf numFmtId="0" fontId="0" fillId="0" borderId="0" xfId="0" applyFill="1"/>
    <xf numFmtId="0" fontId="4" fillId="0" borderId="0" xfId="4" applyFont="1" applyFill="1" applyBorder="1" applyAlignment="1"/>
    <xf numFmtId="0" fontId="4" fillId="0" borderId="0" xfId="0" applyFont="1" applyFill="1" applyAlignment="1">
      <alignment horizontal="left" vertical="top"/>
    </xf>
    <xf numFmtId="0" fontId="4" fillId="0" borderId="0" xfId="4" applyFont="1" applyFill="1" applyBorder="1" applyAlignment="1">
      <alignment vertical="top"/>
    </xf>
    <xf numFmtId="3" fontId="4" fillId="0" borderId="0" xfId="0" applyNumberFormat="1" applyFont="1" applyFill="1" applyBorder="1" applyAlignment="1">
      <alignment horizontal="right" vertical="top" indent="1"/>
    </xf>
    <xf numFmtId="0" fontId="4" fillId="0" borderId="0" xfId="0" applyFont="1" applyFill="1" applyBorder="1" applyAlignment="1">
      <alignment horizontal="left" vertical="center"/>
    </xf>
    <xf numFmtId="0" fontId="4" fillId="0" borderId="0" xfId="0" applyFont="1" applyFill="1" applyBorder="1"/>
    <xf numFmtId="0" fontId="3" fillId="0" borderId="0" xfId="0" applyFont="1" applyFill="1" applyBorder="1"/>
    <xf numFmtId="0" fontId="4" fillId="0" borderId="0" xfId="0" applyFont="1" applyFill="1" applyBorder="1" applyAlignment="1">
      <alignment horizontal="left" vertical="top"/>
    </xf>
    <xf numFmtId="0" fontId="3" fillId="0" borderId="0" xfId="0" applyFont="1" applyFill="1" applyBorder="1" applyAlignment="1">
      <alignment horizontal="left" vertical="center"/>
    </xf>
    <xf numFmtId="0" fontId="4" fillId="0" borderId="8" xfId="0" applyFont="1" applyFill="1" applyBorder="1"/>
    <xf numFmtId="0" fontId="4" fillId="0" borderId="9" xfId="0" applyFont="1" applyFill="1" applyBorder="1"/>
    <xf numFmtId="1" fontId="4" fillId="0" borderId="8" xfId="1" applyNumberFormat="1" applyFont="1" applyFill="1" applyBorder="1" applyAlignment="1">
      <alignment horizontal="left" vertical="top" wrapText="1"/>
    </xf>
    <xf numFmtId="1" fontId="4" fillId="0" borderId="0" xfId="1" applyNumberFormat="1" applyFont="1" applyFill="1" applyBorder="1" applyAlignment="1">
      <alignment horizontal="left" vertical="top" wrapText="1"/>
    </xf>
    <xf numFmtId="9" fontId="4" fillId="0" borderId="8" xfId="1" applyFont="1" applyFill="1" applyBorder="1" applyAlignment="1">
      <alignment horizontal="left" vertical="top" wrapText="1"/>
    </xf>
    <xf numFmtId="1" fontId="4" fillId="0" borderId="5" xfId="1" applyNumberFormat="1" applyFont="1" applyFill="1" applyBorder="1" applyAlignment="1">
      <alignment horizontal="left" vertical="top" wrapText="1"/>
    </xf>
    <xf numFmtId="1" fontId="3" fillId="0" borderId="5" xfId="1" applyNumberFormat="1" applyFont="1" applyFill="1" applyBorder="1" applyAlignment="1">
      <alignment horizontal="left" vertical="top" wrapText="1"/>
    </xf>
    <xf numFmtId="1" fontId="3" fillId="0" borderId="8" xfId="1" applyNumberFormat="1" applyFont="1" applyFill="1" applyBorder="1" applyAlignment="1">
      <alignment horizontal="left" vertical="top" wrapText="1"/>
    </xf>
    <xf numFmtId="1" fontId="4" fillId="0" borderId="6" xfId="2" applyNumberFormat="1" applyFont="1" applyFill="1" applyBorder="1" applyAlignment="1">
      <alignment horizontal="left" vertical="top" wrapText="1"/>
    </xf>
    <xf numFmtId="1" fontId="4" fillId="0" borderId="7" xfId="2" applyNumberFormat="1" applyFont="1" applyFill="1" applyBorder="1" applyAlignment="1">
      <alignment horizontal="left" vertical="top" wrapText="1"/>
    </xf>
    <xf numFmtId="1" fontId="4" fillId="0" borderId="0" xfId="2" applyNumberFormat="1" applyFont="1" applyFill="1" applyBorder="1" applyAlignment="1">
      <alignment horizontal="left" vertical="top" wrapText="1"/>
    </xf>
    <xf numFmtId="1" fontId="4" fillId="0" borderId="1" xfId="2" applyNumberFormat="1" applyFont="1" applyFill="1" applyBorder="1" applyAlignment="1">
      <alignment horizontal="left" vertical="top" wrapText="1"/>
    </xf>
    <xf numFmtId="0" fontId="10" fillId="0" borderId="8"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4" fillId="0" borderId="0" xfId="0" applyNumberFormat="1" applyFont="1" applyFill="1" applyBorder="1" applyAlignment="1">
      <alignment horizontal="left" vertical="top"/>
    </xf>
    <xf numFmtId="0" fontId="10" fillId="0" borderId="0" xfId="0" applyFont="1" applyFill="1" applyBorder="1"/>
    <xf numFmtId="0" fontId="4" fillId="0" borderId="6" xfId="1" applyNumberFormat="1" applyFont="1" applyFill="1" applyBorder="1" applyAlignment="1">
      <alignment horizontal="left" vertical="top" wrapText="1"/>
    </xf>
    <xf numFmtId="0" fontId="4" fillId="0" borderId="7" xfId="1" applyNumberFormat="1" applyFont="1" applyFill="1" applyBorder="1" applyAlignment="1">
      <alignment horizontal="left" vertical="top" wrapText="1"/>
    </xf>
    <xf numFmtId="0" fontId="4" fillId="0" borderId="0" xfId="0" applyNumberFormat="1" applyFont="1" applyFill="1" applyBorder="1" applyAlignment="1">
      <alignment horizontal="left" vertical="center"/>
    </xf>
    <xf numFmtId="0" fontId="4" fillId="0" borderId="1" xfId="0" applyFont="1" applyFill="1" applyBorder="1" applyAlignment="1">
      <alignment horizontal="left" vertical="center"/>
    </xf>
    <xf numFmtId="0" fontId="4" fillId="0" borderId="3" xfId="0" applyFont="1" applyFill="1" applyBorder="1" applyAlignment="1">
      <alignment horizontal="left" vertical="center" wrapText="1"/>
    </xf>
    <xf numFmtId="0" fontId="4" fillId="0" borderId="1"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10" fillId="0" borderId="12" xfId="0" applyFont="1" applyFill="1" applyBorder="1"/>
    <xf numFmtId="0" fontId="4" fillId="0" borderId="14" xfId="0" applyFont="1" applyFill="1" applyBorder="1"/>
    <xf numFmtId="0" fontId="4" fillId="0" borderId="12" xfId="0" applyFont="1" applyFill="1" applyBorder="1"/>
    <xf numFmtId="0" fontId="4" fillId="0" borderId="1" xfId="0" applyFont="1" applyFill="1" applyBorder="1" applyAlignment="1">
      <alignment horizontal="left"/>
    </xf>
    <xf numFmtId="0" fontId="4" fillId="0" borderId="13" xfId="0" applyFont="1" applyFill="1" applyBorder="1"/>
    <xf numFmtId="0" fontId="4" fillId="0" borderId="5" xfId="0" applyFont="1" applyFill="1" applyBorder="1" applyAlignment="1">
      <alignment vertical="top"/>
    </xf>
    <xf numFmtId="1" fontId="4" fillId="0" borderId="15" xfId="1" applyNumberFormat="1" applyFont="1" applyFill="1" applyBorder="1" applyAlignment="1">
      <alignment horizontal="left" vertical="top" wrapText="1"/>
    </xf>
    <xf numFmtId="165" fontId="4" fillId="0" borderId="5" xfId="1" quotePrefix="1" applyNumberFormat="1" applyFont="1" applyFill="1" applyBorder="1" applyAlignment="1">
      <alignment horizontal="center" vertical="top"/>
    </xf>
    <xf numFmtId="0" fontId="4" fillId="0" borderId="5" xfId="0" applyFont="1" applyFill="1" applyBorder="1" applyAlignment="1">
      <alignment vertical="top" wrapText="1"/>
    </xf>
    <xf numFmtId="1" fontId="4" fillId="0" borderId="10" xfId="1" applyNumberFormat="1" applyFont="1" applyFill="1" applyBorder="1" applyAlignment="1">
      <alignment horizontal="left" vertical="top" wrapText="1"/>
    </xf>
    <xf numFmtId="1" fontId="4" fillId="0" borderId="3" xfId="1" applyNumberFormat="1" applyFont="1" applyFill="1" applyBorder="1" applyAlignment="1">
      <alignment horizontal="left" vertical="top" wrapText="1"/>
    </xf>
    <xf numFmtId="1" fontId="4" fillId="0" borderId="2" xfId="1" applyNumberFormat="1" applyFont="1" applyFill="1" applyBorder="1" applyAlignment="1">
      <alignment horizontal="left" vertical="top" wrapText="1"/>
    </xf>
    <xf numFmtId="9" fontId="4" fillId="0" borderId="3" xfId="1" applyFont="1" applyFill="1" applyBorder="1" applyAlignment="1">
      <alignment horizontal="left" vertical="top" wrapText="1"/>
    </xf>
    <xf numFmtId="1" fontId="4" fillId="0" borderId="4" xfId="1" applyNumberFormat="1" applyFont="1" applyFill="1" applyBorder="1" applyAlignment="1">
      <alignment horizontal="left" vertical="top" wrapText="1"/>
    </xf>
    <xf numFmtId="165" fontId="4" fillId="0" borderId="2" xfId="1" quotePrefix="1" applyNumberFormat="1" applyFont="1" applyFill="1" applyBorder="1" applyAlignment="1">
      <alignment horizontal="center" vertical="top"/>
    </xf>
    <xf numFmtId="165" fontId="4" fillId="0" borderId="3" xfId="1" quotePrefix="1" applyNumberFormat="1" applyFont="1" applyFill="1" applyBorder="1" applyAlignment="1">
      <alignment horizontal="center" vertical="top"/>
    </xf>
    <xf numFmtId="1" fontId="3" fillId="0" borderId="15" xfId="1" applyNumberFormat="1" applyFont="1" applyFill="1" applyBorder="1" applyAlignment="1">
      <alignment horizontal="left" vertical="top" wrapText="1"/>
    </xf>
    <xf numFmtId="1" fontId="4" fillId="0" borderId="13" xfId="2" applyNumberFormat="1" applyFont="1" applyFill="1" applyBorder="1" applyAlignment="1">
      <alignment horizontal="left" vertical="top" wrapText="1"/>
    </xf>
    <xf numFmtId="0" fontId="3" fillId="0" borderId="0" xfId="0" applyFont="1" applyFill="1" applyBorder="1" applyAlignment="1">
      <alignment vertical="center"/>
    </xf>
    <xf numFmtId="0" fontId="4" fillId="0" borderId="0" xfId="0" applyFont="1" applyFill="1" applyBorder="1" applyAlignment="1">
      <alignment vertical="center"/>
    </xf>
    <xf numFmtId="0" fontId="4" fillId="0" borderId="0" xfId="0" quotePrefix="1" applyFont="1" applyFill="1" applyBorder="1"/>
    <xf numFmtId="0" fontId="0" fillId="0" borderId="0" xfId="0" applyFont="1" applyFill="1" applyBorder="1"/>
    <xf numFmtId="0" fontId="4" fillId="0" borderId="0" xfId="0" applyFont="1" applyFill="1" applyBorder="1" applyAlignment="1">
      <alignment horizontal="left"/>
    </xf>
    <xf numFmtId="0" fontId="4" fillId="0" borderId="0" xfId="0" applyFont="1" applyFill="1" applyBorder="1" applyAlignment="1">
      <alignment horizontal="left" indent="1"/>
    </xf>
    <xf numFmtId="0" fontId="4" fillId="0" borderId="0" xfId="0" applyFont="1" applyFill="1" applyAlignment="1">
      <alignment horizontal="left"/>
    </xf>
    <xf numFmtId="0" fontId="0" fillId="0" borderId="0" xfId="0" applyFill="1" applyAlignment="1">
      <alignment horizontal="left"/>
    </xf>
    <xf numFmtId="0" fontId="4" fillId="0" borderId="0" xfId="5" applyFont="1" applyFill="1"/>
    <xf numFmtId="0" fontId="4" fillId="0" borderId="0" xfId="5" applyFont="1" applyFill="1" applyBorder="1"/>
    <xf numFmtId="0" fontId="4" fillId="0" borderId="14" xfId="5" applyFont="1" applyFill="1" applyBorder="1" applyAlignment="1">
      <alignment horizontal="center" vertical="center"/>
    </xf>
    <xf numFmtId="0" fontId="4" fillId="0" borderId="0" xfId="5" applyFont="1" applyFill="1" applyBorder="1" applyAlignment="1">
      <alignment horizontal="center" vertical="center" textRotation="90" wrapText="1"/>
    </xf>
    <xf numFmtId="0" fontId="4" fillId="0" borderId="9" xfId="5" applyFont="1" applyFill="1" applyBorder="1" applyAlignment="1">
      <alignment horizontal="center" vertical="center" textRotation="90" wrapText="1"/>
    </xf>
    <xf numFmtId="0" fontId="10" fillId="0" borderId="11" xfId="5" applyFont="1" applyFill="1" applyBorder="1" applyAlignment="1">
      <alignment horizontal="left" vertical="center"/>
    </xf>
    <xf numFmtId="0" fontId="4" fillId="0" borderId="8" xfId="5" applyFont="1" applyFill="1" applyBorder="1" applyAlignment="1">
      <alignment horizontal="center" vertical="center"/>
    </xf>
    <xf numFmtId="0" fontId="4" fillId="0" borderId="0" xfId="5" applyFont="1" applyFill="1" applyBorder="1" applyAlignment="1">
      <alignment horizontal="center" vertical="center"/>
    </xf>
    <xf numFmtId="0" fontId="4" fillId="0" borderId="9" xfId="5" applyFont="1" applyFill="1" applyBorder="1" applyAlignment="1">
      <alignment horizontal="center" vertical="center"/>
    </xf>
    <xf numFmtId="0" fontId="4" fillId="0" borderId="11" xfId="5" applyFont="1" applyFill="1" applyBorder="1"/>
    <xf numFmtId="0" fontId="4" fillId="0" borderId="11" xfId="5" applyFont="1" applyFill="1" applyBorder="1" applyAlignment="1">
      <alignment horizontal="center" vertical="center"/>
    </xf>
    <xf numFmtId="0" fontId="4" fillId="0" borderId="5" xfId="5" applyFont="1" applyFill="1" applyBorder="1" applyAlignment="1">
      <alignment vertical="top"/>
    </xf>
    <xf numFmtId="0" fontId="4" fillId="0" borderId="15" xfId="5" applyFont="1" applyFill="1" applyBorder="1" applyAlignment="1">
      <alignment horizontal="left" vertical="top" wrapText="1"/>
    </xf>
    <xf numFmtId="10" fontId="4" fillId="0" borderId="5" xfId="5" applyNumberFormat="1" applyFont="1" applyFill="1" applyBorder="1" applyAlignment="1">
      <alignment horizontal="center" vertical="top"/>
    </xf>
    <xf numFmtId="10" fontId="4" fillId="0" borderId="6" xfId="5" applyNumberFormat="1" applyFont="1" applyFill="1" applyBorder="1" applyAlignment="1">
      <alignment horizontal="center" vertical="top"/>
    </xf>
    <xf numFmtId="10" fontId="4" fillId="0" borderId="7" xfId="5" applyNumberFormat="1" applyFont="1" applyFill="1" applyBorder="1" applyAlignment="1">
      <alignment horizontal="center" vertical="top"/>
    </xf>
    <xf numFmtId="10" fontId="4" fillId="0" borderId="5" xfId="5" applyNumberFormat="1" applyFont="1" applyFill="1" applyBorder="1" applyAlignment="1">
      <alignment horizontal="left" vertical="top" wrapText="1"/>
    </xf>
    <xf numFmtId="165" fontId="4" fillId="0" borderId="15" xfId="1" applyNumberFormat="1" applyFont="1" applyFill="1" applyBorder="1" applyAlignment="1">
      <alignment horizontal="center" vertical="top" wrapText="1"/>
    </xf>
    <xf numFmtId="10" fontId="4" fillId="0" borderId="15" xfId="5" applyNumberFormat="1" applyFont="1" applyFill="1" applyBorder="1" applyAlignment="1">
      <alignment horizontal="left" vertical="top" wrapText="1"/>
    </xf>
    <xf numFmtId="0" fontId="4" fillId="0" borderId="5" xfId="5" applyFont="1" applyFill="1" applyBorder="1" applyAlignment="1">
      <alignment vertical="top" wrapText="1"/>
    </xf>
    <xf numFmtId="0" fontId="3" fillId="0" borderId="15" xfId="5" applyFont="1" applyFill="1" applyBorder="1" applyAlignment="1">
      <alignment horizontal="left" vertical="top" wrapText="1"/>
    </xf>
    <xf numFmtId="0" fontId="4" fillId="0" borderId="10" xfId="5" applyFont="1" applyFill="1" applyBorder="1" applyAlignment="1">
      <alignment horizontal="left" vertical="top" wrapText="1"/>
    </xf>
    <xf numFmtId="10" fontId="4" fillId="0" borderId="2" xfId="5" applyNumberFormat="1" applyFont="1" applyFill="1" applyBorder="1" applyAlignment="1">
      <alignment horizontal="left" vertical="top"/>
    </xf>
    <xf numFmtId="10" fontId="4" fillId="0" borderId="3" xfId="5" applyNumberFormat="1" applyFont="1" applyFill="1" applyBorder="1" applyAlignment="1">
      <alignment horizontal="center" vertical="top"/>
    </xf>
    <xf numFmtId="10" fontId="4" fillId="0" borderId="4" xfId="5" applyNumberFormat="1" applyFont="1" applyFill="1" applyBorder="1" applyAlignment="1">
      <alignment horizontal="center" vertical="top"/>
    </xf>
    <xf numFmtId="10" fontId="4" fillId="0" borderId="2" xfId="5" applyNumberFormat="1" applyFont="1" applyFill="1" applyBorder="1" applyAlignment="1">
      <alignment horizontal="left" vertical="top" wrapText="1"/>
    </xf>
    <xf numFmtId="9" fontId="4" fillId="0" borderId="10" xfId="1" applyFont="1" applyFill="1" applyBorder="1" applyAlignment="1">
      <alignment horizontal="center" vertical="top" wrapText="1"/>
    </xf>
    <xf numFmtId="10" fontId="4" fillId="0" borderId="10" xfId="5" applyNumberFormat="1" applyFont="1" applyFill="1" applyBorder="1" applyAlignment="1">
      <alignment horizontal="left" vertical="top" wrapText="1"/>
    </xf>
    <xf numFmtId="0" fontId="8" fillId="0" borderId="0" xfId="0" applyFont="1" applyFill="1"/>
    <xf numFmtId="0" fontId="8" fillId="0" borderId="15" xfId="2" applyFont="1" applyFill="1" applyBorder="1" applyAlignment="1">
      <alignment horizontal="left" vertical="top" wrapText="1"/>
    </xf>
    <xf numFmtId="10" fontId="8" fillId="0" borderId="5" xfId="2" applyNumberFormat="1" applyFont="1" applyFill="1" applyBorder="1" applyAlignment="1">
      <alignment horizontal="left" vertical="top" wrapText="1"/>
    </xf>
    <xf numFmtId="0" fontId="4" fillId="0" borderId="0" xfId="0" applyFont="1" applyFill="1" applyAlignment="1">
      <alignment horizontal="center"/>
    </xf>
    <xf numFmtId="0" fontId="4" fillId="0" borderId="7" xfId="0" applyFont="1" applyFill="1" applyBorder="1" applyAlignment="1">
      <alignment vertical="center"/>
    </xf>
    <xf numFmtId="0" fontId="4" fillId="0" borderId="4" xfId="1" applyNumberFormat="1" applyFont="1" applyFill="1" applyBorder="1" applyAlignment="1">
      <alignment horizontal="center" vertical="top" wrapText="1"/>
    </xf>
    <xf numFmtId="9" fontId="4" fillId="0" borderId="9" xfId="1" applyFont="1" applyFill="1" applyBorder="1" applyAlignment="1">
      <alignment horizontal="center" vertical="top" wrapText="1"/>
    </xf>
    <xf numFmtId="0" fontId="4" fillId="0" borderId="9" xfId="1" quotePrefix="1" applyNumberFormat="1" applyFont="1" applyFill="1" applyBorder="1" applyAlignment="1">
      <alignment horizontal="center" vertical="top" wrapText="1"/>
    </xf>
    <xf numFmtId="9" fontId="4" fillId="0" borderId="4" xfId="1" applyFont="1" applyFill="1" applyBorder="1" applyAlignment="1">
      <alignment horizontal="center" vertical="top" wrapText="1"/>
    </xf>
    <xf numFmtId="9" fontId="4" fillId="0" borderId="4" xfId="1" applyFont="1" applyFill="1" applyBorder="1" applyAlignment="1">
      <alignment horizontal="left" vertical="top" wrapText="1"/>
    </xf>
    <xf numFmtId="0" fontId="13" fillId="0" borderId="0" xfId="0" applyFont="1" applyFill="1"/>
    <xf numFmtId="0" fontId="13" fillId="0" borderId="13" xfId="0" applyFont="1" applyFill="1" applyBorder="1" applyAlignment="1">
      <alignment horizontal="center" vertical="center"/>
    </xf>
    <xf numFmtId="0" fontId="13" fillId="0" borderId="12" xfId="0" applyFont="1" applyFill="1" applyBorder="1" applyAlignment="1">
      <alignment horizontal="center" vertical="center"/>
    </xf>
    <xf numFmtId="0" fontId="4" fillId="0" borderId="9" xfId="1" applyNumberFormat="1" applyFont="1" applyFill="1" applyBorder="1" applyAlignment="1">
      <alignment horizontal="center" vertical="top" wrapText="1"/>
    </xf>
    <xf numFmtId="0" fontId="4" fillId="0" borderId="4" xfId="2" quotePrefix="1" applyNumberFormat="1" applyFont="1" applyFill="1" applyBorder="1" applyAlignment="1">
      <alignment horizontal="center" vertical="top" wrapText="1"/>
    </xf>
    <xf numFmtId="0" fontId="4" fillId="0" borderId="13" xfId="1" applyNumberFormat="1" applyFont="1" applyFill="1" applyBorder="1" applyAlignment="1">
      <alignment horizontal="center" vertical="top" wrapText="1"/>
    </xf>
    <xf numFmtId="0" fontId="4" fillId="0" borderId="0" xfId="0" applyFont="1" applyFill="1" applyBorder="1" applyAlignment="1">
      <alignment vertical="top"/>
    </xf>
    <xf numFmtId="0" fontId="4" fillId="0" borderId="9" xfId="0" applyFont="1" applyFill="1" applyBorder="1" applyAlignment="1">
      <alignment vertical="top"/>
    </xf>
    <xf numFmtId="0" fontId="4" fillId="0" borderId="0" xfId="5" applyFont="1" applyFill="1" applyBorder="1" applyAlignment="1">
      <alignment horizontal="center" vertical="center" wrapText="1"/>
    </xf>
    <xf numFmtId="0" fontId="4" fillId="0" borderId="9" xfId="5" applyFont="1" applyFill="1" applyBorder="1" applyAlignment="1">
      <alignment horizontal="center" vertical="center" wrapText="1"/>
    </xf>
    <xf numFmtId="0" fontId="4" fillId="0" borderId="2" xfId="5" applyFont="1" applyFill="1" applyBorder="1" applyAlignment="1">
      <alignment horizontal="left" vertical="top"/>
    </xf>
    <xf numFmtId="0" fontId="4" fillId="0" borderId="2" xfId="5" applyFont="1" applyFill="1" applyBorder="1" applyAlignment="1">
      <alignment horizontal="left" vertical="top" wrapText="1"/>
    </xf>
    <xf numFmtId="0" fontId="4" fillId="0" borderId="3" xfId="5" applyFont="1" applyFill="1" applyBorder="1" applyAlignment="1">
      <alignment horizontal="left" vertical="top" wrapText="1"/>
    </xf>
    <xf numFmtId="9" fontId="4" fillId="0" borderId="3" xfId="1" applyNumberFormat="1" applyFont="1" applyFill="1" applyBorder="1" applyAlignment="1">
      <alignment horizontal="left" vertical="top" wrapText="1"/>
    </xf>
    <xf numFmtId="0" fontId="4" fillId="0" borderId="8" xfId="5" applyFont="1" applyFill="1" applyBorder="1" applyAlignment="1">
      <alignment horizontal="left" vertical="top" wrapText="1"/>
    </xf>
    <xf numFmtId="0" fontId="4" fillId="0" borderId="0" xfId="5" applyFont="1" applyFill="1" applyBorder="1" applyAlignment="1">
      <alignment horizontal="left" vertical="top" wrapText="1"/>
    </xf>
    <xf numFmtId="9" fontId="4" fillId="0" borderId="0" xfId="1" applyNumberFormat="1" applyFont="1" applyFill="1" applyBorder="1" applyAlignment="1">
      <alignment horizontal="left" vertical="top" wrapText="1"/>
    </xf>
    <xf numFmtId="0" fontId="4" fillId="0" borderId="0" xfId="5" applyNumberFormat="1" applyFont="1" applyFill="1" applyBorder="1"/>
    <xf numFmtId="0" fontId="4" fillId="0" borderId="8" xfId="5" applyFont="1" applyFill="1" applyBorder="1" applyAlignment="1">
      <alignment horizontal="left" vertical="top"/>
    </xf>
    <xf numFmtId="0" fontId="4" fillId="0" borderId="12" xfId="5" applyFont="1" applyFill="1" applyBorder="1" applyAlignment="1">
      <alignment horizontal="left" vertical="top" wrapText="1" indent="1"/>
    </xf>
    <xf numFmtId="0" fontId="4" fillId="0" borderId="1" xfId="5" applyFont="1" applyFill="1" applyBorder="1" applyAlignment="1">
      <alignment horizontal="left" vertical="top" wrapText="1" indent="1"/>
    </xf>
    <xf numFmtId="0" fontId="4" fillId="0" borderId="13" xfId="5" applyFont="1" applyFill="1" applyBorder="1" applyAlignment="1">
      <alignment horizontal="left" vertical="top" wrapText="1" indent="1"/>
    </xf>
    <xf numFmtId="0" fontId="3" fillId="0" borderId="0" xfId="5" applyFont="1" applyFill="1"/>
    <xf numFmtId="0" fontId="4" fillId="0" borderId="0" xfId="5" applyFont="1" applyFill="1" applyBorder="1" applyAlignment="1">
      <alignment horizontal="left" vertical="top" wrapText="1" indent="1"/>
    </xf>
    <xf numFmtId="9" fontId="4" fillId="0" borderId="3" xfId="5" applyNumberFormat="1" applyFont="1" applyFill="1" applyBorder="1" applyAlignment="1">
      <alignment horizontal="left" vertical="top" wrapText="1"/>
    </xf>
    <xf numFmtId="9" fontId="13" fillId="0" borderId="3" xfId="1" applyNumberFormat="1" applyFont="1" applyFill="1" applyBorder="1" applyAlignment="1">
      <alignment horizontal="left" vertical="top" wrapText="1"/>
    </xf>
    <xf numFmtId="9" fontId="13" fillId="0" borderId="0" xfId="1" applyNumberFormat="1" applyFont="1" applyFill="1" applyBorder="1" applyAlignment="1">
      <alignment horizontal="left" vertical="top" wrapText="1"/>
    </xf>
    <xf numFmtId="9" fontId="13" fillId="0" borderId="9" xfId="1" applyNumberFormat="1" applyFont="1" applyFill="1" applyBorder="1" applyAlignment="1">
      <alignment horizontal="left" vertical="top" wrapText="1"/>
    </xf>
    <xf numFmtId="9" fontId="13" fillId="0" borderId="4" xfId="1" applyNumberFormat="1" applyFont="1" applyFill="1" applyBorder="1" applyAlignment="1">
      <alignment horizontal="left" vertical="top" wrapText="1"/>
    </xf>
    <xf numFmtId="0" fontId="5" fillId="0" borderId="0" xfId="3" applyFont="1" applyFill="1" applyBorder="1" applyAlignment="1" applyProtection="1">
      <alignment horizontal="left" vertical="center"/>
    </xf>
    <xf numFmtId="0" fontId="0" fillId="0" borderId="0" xfId="0" applyFill="1" applyAlignment="1">
      <alignment horizontal="left" vertical="center"/>
    </xf>
    <xf numFmtId="0" fontId="3" fillId="0" borderId="2" xfId="5" applyFont="1" applyFill="1" applyBorder="1" applyAlignment="1">
      <alignment horizontal="left" vertical="top" wrapText="1"/>
    </xf>
    <xf numFmtId="0" fontId="4" fillId="0" borderId="0" xfId="0" quotePrefix="1" applyFont="1" applyFill="1" applyAlignment="1">
      <alignment vertical="top"/>
    </xf>
    <xf numFmtId="0" fontId="4" fillId="0" borderId="4" xfId="0" applyFont="1" applyFill="1" applyBorder="1"/>
    <xf numFmtId="10" fontId="4" fillId="0" borderId="8" xfId="0" applyNumberFormat="1" applyFont="1" applyFill="1" applyBorder="1" applyAlignment="1">
      <alignment horizontal="center" vertical="center" wrapText="1"/>
    </xf>
    <xf numFmtId="10" fontId="4" fillId="0" borderId="0" xfId="0" applyNumberFormat="1" applyFont="1" applyFill="1" applyBorder="1" applyAlignment="1">
      <alignment horizontal="center" vertical="center" wrapText="1"/>
    </xf>
    <xf numFmtId="10" fontId="4" fillId="0" borderId="9" xfId="0" applyNumberFormat="1" applyFont="1" applyFill="1" applyBorder="1" applyAlignment="1">
      <alignment horizontal="center" vertical="center" wrapText="1"/>
    </xf>
    <xf numFmtId="0" fontId="4" fillId="0" borderId="0" xfId="0" applyFont="1" applyFill="1" applyBorder="1" applyAlignment="1">
      <alignment horizontal="center"/>
    </xf>
    <xf numFmtId="0" fontId="4" fillId="0" borderId="0" xfId="0" quotePrefix="1" applyFont="1" applyFill="1" applyBorder="1" applyAlignment="1">
      <alignment horizontal="center"/>
    </xf>
    <xf numFmtId="0" fontId="4" fillId="3" borderId="11" xfId="0" applyFont="1" applyFill="1" applyBorder="1" applyAlignment="1">
      <alignment vertical="top"/>
    </xf>
    <xf numFmtId="0" fontId="4" fillId="3" borderId="11" xfId="0" applyFont="1" applyFill="1" applyBorder="1"/>
    <xf numFmtId="0" fontId="4" fillId="3" borderId="14" xfId="0" applyFont="1" applyFill="1" applyBorder="1"/>
    <xf numFmtId="167" fontId="4" fillId="3" borderId="10" xfId="0" applyNumberFormat="1" applyFont="1" applyFill="1" applyBorder="1"/>
    <xf numFmtId="168" fontId="4" fillId="3" borderId="11" xfId="0" applyNumberFormat="1" applyFont="1" applyFill="1" applyBorder="1"/>
    <xf numFmtId="169" fontId="4" fillId="3" borderId="11" xfId="0" applyNumberFormat="1" applyFont="1" applyFill="1" applyBorder="1"/>
    <xf numFmtId="170" fontId="8" fillId="3" borderId="11" xfId="0" applyNumberFormat="1" applyFont="1" applyFill="1" applyBorder="1"/>
    <xf numFmtId="171" fontId="4" fillId="3" borderId="11" xfId="0" applyNumberFormat="1" applyFont="1" applyFill="1" applyBorder="1"/>
    <xf numFmtId="172" fontId="4" fillId="3" borderId="11" xfId="0" applyNumberFormat="1" applyFont="1" applyFill="1" applyBorder="1"/>
    <xf numFmtId="173" fontId="8" fillId="3" borderId="11" xfId="0" applyNumberFormat="1" applyFont="1" applyFill="1" applyBorder="1"/>
    <xf numFmtId="174" fontId="4" fillId="3" borderId="11" xfId="0" applyNumberFormat="1" applyFont="1" applyFill="1" applyBorder="1"/>
    <xf numFmtId="175" fontId="4" fillId="3" borderId="11" xfId="0" applyNumberFormat="1" applyFont="1" applyFill="1" applyBorder="1"/>
    <xf numFmtId="176" fontId="4" fillId="3" borderId="11" xfId="0" applyNumberFormat="1" applyFont="1" applyFill="1" applyBorder="1"/>
    <xf numFmtId="177" fontId="4" fillId="3" borderId="11" xfId="0" applyNumberFormat="1" applyFont="1" applyFill="1" applyBorder="1"/>
    <xf numFmtId="179" fontId="4" fillId="3" borderId="11" xfId="0" applyNumberFormat="1" applyFont="1" applyFill="1" applyBorder="1"/>
    <xf numFmtId="180" fontId="4" fillId="3" borderId="11" xfId="0" applyNumberFormat="1" applyFont="1" applyFill="1" applyBorder="1"/>
    <xf numFmtId="178" fontId="4" fillId="3" borderId="11" xfId="0" applyNumberFormat="1" applyFont="1" applyFill="1" applyBorder="1"/>
    <xf numFmtId="181" fontId="4" fillId="3" borderId="11" xfId="0" applyNumberFormat="1" applyFont="1" applyFill="1" applyBorder="1"/>
    <xf numFmtId="182" fontId="4" fillId="3" borderId="11" xfId="0" applyNumberFormat="1" applyFont="1" applyFill="1" applyBorder="1"/>
    <xf numFmtId="183" fontId="4" fillId="3" borderId="14" xfId="0" applyNumberFormat="1" applyFont="1" applyFill="1" applyBorder="1"/>
    <xf numFmtId="167" fontId="4" fillId="3" borderId="11" xfId="0" applyNumberFormat="1" applyFont="1" applyFill="1" applyBorder="1"/>
    <xf numFmtId="0" fontId="10" fillId="3" borderId="15" xfId="0" applyFont="1" applyFill="1" applyBorder="1"/>
    <xf numFmtId="0" fontId="8" fillId="3" borderId="15" xfId="0" applyFont="1" applyFill="1" applyBorder="1"/>
    <xf numFmtId="0" fontId="4" fillId="3" borderId="0" xfId="0" applyFont="1" applyFill="1" applyBorder="1"/>
    <xf numFmtId="0" fontId="6" fillId="0" borderId="0" xfId="0" applyFont="1" applyFill="1" applyAlignment="1"/>
    <xf numFmtId="1" fontId="4" fillId="0" borderId="6" xfId="1" applyNumberFormat="1" applyFont="1" applyFill="1" applyBorder="1" applyAlignment="1">
      <alignment horizontal="left" vertical="top" wrapText="1"/>
    </xf>
    <xf numFmtId="1" fontId="4" fillId="0" borderId="7" xfId="1" applyNumberFormat="1" applyFont="1" applyFill="1" applyBorder="1" applyAlignment="1">
      <alignment horizontal="left" vertical="top" wrapText="1"/>
    </xf>
    <xf numFmtId="9" fontId="4" fillId="0" borderId="7" xfId="1" applyFont="1" applyFill="1" applyBorder="1" applyAlignment="1">
      <alignment horizontal="left" vertical="top" wrapText="1"/>
    </xf>
    <xf numFmtId="1" fontId="4" fillId="0" borderId="9" xfId="1" applyNumberFormat="1" applyFont="1" applyFill="1" applyBorder="1" applyAlignment="1">
      <alignment horizontal="left" vertical="top" wrapText="1"/>
    </xf>
    <xf numFmtId="165" fontId="4" fillId="0" borderId="6" xfId="1" quotePrefix="1" applyNumberFormat="1" applyFont="1" applyFill="1" applyBorder="1" applyAlignment="1">
      <alignment horizontal="center" vertical="top"/>
    </xf>
    <xf numFmtId="0" fontId="4" fillId="0" borderId="8" xfId="0" applyFont="1" applyFill="1" applyBorder="1" applyAlignment="1">
      <alignment vertical="top"/>
    </xf>
    <xf numFmtId="0" fontId="4" fillId="0" borderId="4" xfId="1" quotePrefix="1" applyNumberFormat="1" applyFont="1" applyFill="1" applyBorder="1" applyAlignment="1">
      <alignment horizontal="center" vertical="top" wrapText="1"/>
    </xf>
    <xf numFmtId="0" fontId="8" fillId="0" borderId="10" xfId="0" applyFont="1" applyFill="1" applyBorder="1" applyAlignment="1">
      <alignment horizontal="center" vertical="center" wrapText="1"/>
    </xf>
    <xf numFmtId="9" fontId="4" fillId="0" borderId="2" xfId="1" applyFont="1" applyFill="1" applyBorder="1" applyAlignment="1">
      <alignment horizontal="left" vertical="top" wrapText="1"/>
    </xf>
    <xf numFmtId="9" fontId="4" fillId="0" borderId="9" xfId="1" quotePrefix="1" applyFont="1" applyFill="1" applyBorder="1" applyAlignment="1">
      <alignment horizontal="left" vertical="top" wrapText="1"/>
    </xf>
    <xf numFmtId="0" fontId="4" fillId="0" borderId="8" xfId="1" applyNumberFormat="1" applyFont="1" applyFill="1" applyBorder="1" applyAlignment="1">
      <alignment horizontal="left" vertical="top" wrapText="1"/>
    </xf>
    <xf numFmtId="165" fontId="4" fillId="0" borderId="1" xfId="1" quotePrefix="1" applyNumberFormat="1" applyFont="1" applyFill="1" applyBorder="1" applyAlignment="1">
      <alignment horizontal="center" vertical="top"/>
    </xf>
    <xf numFmtId="9" fontId="4" fillId="0" borderId="5" xfId="1" applyFont="1" applyFill="1" applyBorder="1" applyAlignment="1">
      <alignment horizontal="left" vertical="top" wrapText="1"/>
    </xf>
    <xf numFmtId="9" fontId="4" fillId="0" borderId="6" xfId="1" applyFont="1" applyFill="1" applyBorder="1" applyAlignment="1">
      <alignment horizontal="left" vertical="top" wrapText="1"/>
    </xf>
    <xf numFmtId="164" fontId="3" fillId="0" borderId="0" xfId="2" applyNumberFormat="1" applyFont="1" applyFill="1" applyBorder="1" applyAlignment="1">
      <alignment horizontal="left" vertical="top" wrapText="1"/>
    </xf>
    <xf numFmtId="164" fontId="4" fillId="0" borderId="0" xfId="2" quotePrefix="1" applyNumberFormat="1" applyFont="1" applyFill="1" applyBorder="1" applyAlignment="1">
      <alignment vertical="top" wrapText="1"/>
    </xf>
    <xf numFmtId="164" fontId="4" fillId="0" borderId="0" xfId="2" applyNumberFormat="1" applyFont="1" applyFill="1" applyBorder="1" applyAlignment="1">
      <alignment horizontal="left" vertical="top" wrapText="1"/>
    </xf>
    <xf numFmtId="165" fontId="4" fillId="0" borderId="0" xfId="1" quotePrefix="1" applyNumberFormat="1" applyFont="1" applyFill="1" applyBorder="1" applyAlignment="1">
      <alignment horizontal="center" vertical="top"/>
    </xf>
    <xf numFmtId="165" fontId="4" fillId="0" borderId="0" xfId="1" quotePrefix="1" applyNumberFormat="1" applyFont="1" applyFill="1" applyBorder="1" applyAlignment="1">
      <alignment horizontal="center" vertical="top" wrapText="1"/>
    </xf>
    <xf numFmtId="0" fontId="13" fillId="0" borderId="0" xfId="0" applyFont="1" applyFill="1" applyAlignment="1"/>
    <xf numFmtId="0" fontId="10" fillId="0" borderId="14" xfId="0" applyFont="1" applyFill="1" applyBorder="1" applyAlignment="1"/>
    <xf numFmtId="1" fontId="4" fillId="0" borderId="10" xfId="1" applyNumberFormat="1" applyFont="1" applyFill="1" applyBorder="1" applyAlignment="1">
      <alignment vertical="top" wrapText="1"/>
    </xf>
    <xf numFmtId="1" fontId="4" fillId="0" borderId="11" xfId="1" applyNumberFormat="1" applyFont="1" applyFill="1" applyBorder="1" applyAlignment="1">
      <alignment vertical="top" wrapText="1"/>
    </xf>
    <xf numFmtId="1" fontId="4" fillId="0" borderId="14" xfId="1" applyNumberFormat="1" applyFont="1" applyFill="1" applyBorder="1" applyAlignment="1">
      <alignment vertical="top" wrapText="1"/>
    </xf>
    <xf numFmtId="0" fontId="0" fillId="0" borderId="0" xfId="0" applyFill="1" applyBorder="1" applyAlignment="1"/>
    <xf numFmtId="0" fontId="0" fillId="0" borderId="0" xfId="0" applyFill="1" applyAlignment="1"/>
    <xf numFmtId="0" fontId="13" fillId="0" borderId="13" xfId="0" applyFont="1" applyFill="1" applyBorder="1" applyAlignment="1">
      <alignment vertical="center"/>
    </xf>
    <xf numFmtId="1" fontId="4" fillId="0" borderId="4" xfId="1" applyNumberFormat="1" applyFont="1" applyFill="1" applyBorder="1" applyAlignment="1">
      <alignment vertical="top" wrapText="1"/>
    </xf>
    <xf numFmtId="1" fontId="4" fillId="0" borderId="9" xfId="1" applyNumberFormat="1" applyFont="1" applyFill="1" applyBorder="1" applyAlignment="1">
      <alignment vertical="top" wrapText="1"/>
    </xf>
    <xf numFmtId="1" fontId="4" fillId="0" borderId="13" xfId="1" applyNumberFormat="1" applyFont="1" applyFill="1" applyBorder="1" applyAlignment="1">
      <alignment vertical="top" wrapText="1"/>
    </xf>
    <xf numFmtId="0" fontId="10" fillId="0" borderId="11" xfId="0" applyFont="1" applyFill="1" applyBorder="1" applyAlignment="1">
      <alignment vertical="top"/>
    </xf>
    <xf numFmtId="0" fontId="3" fillId="0" borderId="0" xfId="0" applyFont="1" applyFill="1" applyAlignment="1">
      <alignment vertical="center"/>
    </xf>
    <xf numFmtId="0" fontId="4" fillId="0" borderId="0" xfId="0" applyFont="1" applyFill="1" applyAlignment="1">
      <alignment vertical="center"/>
    </xf>
    <xf numFmtId="0" fontId="4" fillId="0" borderId="2" xfId="0" applyFont="1" applyFill="1" applyBorder="1" applyAlignment="1">
      <alignment vertical="center"/>
    </xf>
    <xf numFmtId="0" fontId="4" fillId="0" borderId="8" xfId="0" applyFont="1" applyFill="1" applyBorder="1" applyAlignment="1">
      <alignment vertical="center"/>
    </xf>
    <xf numFmtId="0" fontId="4" fillId="0" borderId="12" xfId="0" applyFont="1" applyFill="1" applyBorder="1" applyAlignment="1">
      <alignment vertical="center"/>
    </xf>
    <xf numFmtId="0" fontId="4" fillId="0" borderId="2" xfId="0" applyFont="1" applyFill="1" applyBorder="1" applyAlignment="1">
      <alignment vertical="center" wrapText="1"/>
    </xf>
    <xf numFmtId="0" fontId="4" fillId="0" borderId="8" xfId="0" applyFont="1" applyFill="1" applyBorder="1" applyAlignment="1">
      <alignment vertical="center" wrapText="1"/>
    </xf>
    <xf numFmtId="1" fontId="3" fillId="0" borderId="5" xfId="2" applyNumberFormat="1" applyFont="1" applyFill="1" applyBorder="1" applyAlignment="1">
      <alignment horizontal="left" vertical="top" wrapText="1"/>
    </xf>
    <xf numFmtId="9" fontId="4" fillId="0" borderId="6" xfId="2" applyNumberFormat="1" applyFont="1" applyFill="1" applyBorder="1" applyAlignment="1">
      <alignment horizontal="left" vertical="top" wrapText="1"/>
    </xf>
    <xf numFmtId="1" fontId="4" fillId="0" borderId="5" xfId="2" applyNumberFormat="1" applyFont="1" applyFill="1" applyBorder="1" applyAlignment="1">
      <alignment horizontal="left" vertical="top" wrapText="1"/>
    </xf>
    <xf numFmtId="9" fontId="4" fillId="0" borderId="15" xfId="1" applyFont="1" applyFill="1" applyBorder="1" applyAlignment="1">
      <alignment horizontal="left" vertical="top" wrapText="1"/>
    </xf>
    <xf numFmtId="1" fontId="3" fillId="0" borderId="12" xfId="1" applyNumberFormat="1" applyFont="1" applyFill="1" applyBorder="1" applyAlignment="1">
      <alignment horizontal="left" vertical="top" wrapText="1"/>
    </xf>
    <xf numFmtId="1" fontId="4" fillId="0" borderId="1" xfId="1" applyNumberFormat="1" applyFont="1" applyFill="1" applyBorder="1" applyAlignment="1">
      <alignment horizontal="left" vertical="top" wrapText="1"/>
    </xf>
    <xf numFmtId="1" fontId="4" fillId="0" borderId="13" xfId="1" applyNumberFormat="1" applyFont="1" applyFill="1" applyBorder="1" applyAlignment="1">
      <alignment horizontal="left" vertical="top" wrapText="1"/>
    </xf>
    <xf numFmtId="9" fontId="4" fillId="0" borderId="1" xfId="1" applyFont="1" applyFill="1" applyBorder="1" applyAlignment="1">
      <alignment horizontal="left" vertical="top" wrapText="1"/>
    </xf>
    <xf numFmtId="1" fontId="4" fillId="0" borderId="12" xfId="1" applyNumberFormat="1" applyFont="1" applyFill="1" applyBorder="1" applyAlignment="1">
      <alignment horizontal="left" vertical="top" wrapText="1"/>
    </xf>
    <xf numFmtId="1" fontId="4" fillId="0" borderId="8" xfId="2" applyNumberFormat="1" applyFont="1" applyFill="1" applyBorder="1" applyAlignment="1">
      <alignment horizontal="left" vertical="top" wrapText="1"/>
    </xf>
    <xf numFmtId="9" fontId="4" fillId="0" borderId="8" xfId="2" applyNumberFormat="1" applyFont="1" applyFill="1" applyBorder="1" applyAlignment="1">
      <alignment horizontal="left" vertical="top" wrapText="1"/>
    </xf>
    <xf numFmtId="0" fontId="0" fillId="0" borderId="1" xfId="0" applyFill="1" applyBorder="1"/>
    <xf numFmtId="1" fontId="3" fillId="0" borderId="8" xfId="2" applyNumberFormat="1" applyFont="1" applyFill="1" applyBorder="1" applyAlignment="1">
      <alignment horizontal="left" vertical="top" wrapText="1"/>
    </xf>
    <xf numFmtId="9" fontId="4" fillId="0" borderId="9" xfId="2" applyNumberFormat="1" applyFont="1" applyFill="1" applyBorder="1" applyAlignment="1">
      <alignment horizontal="left" vertical="top" wrapText="1"/>
    </xf>
    <xf numFmtId="9" fontId="4" fillId="0" borderId="14" xfId="1" applyFont="1" applyFill="1" applyBorder="1" applyAlignment="1">
      <alignment horizontal="left" vertical="top" wrapText="1"/>
    </xf>
    <xf numFmtId="0" fontId="4" fillId="0" borderId="15" xfId="0" applyFont="1" applyFill="1" applyBorder="1" applyAlignment="1">
      <alignment horizontal="left" vertical="top"/>
    </xf>
    <xf numFmtId="9" fontId="4" fillId="0" borderId="6" xfId="1" applyNumberFormat="1" applyFont="1" applyFill="1" applyBorder="1" applyAlignment="1">
      <alignment horizontal="left" vertical="top" wrapText="1"/>
    </xf>
    <xf numFmtId="0" fontId="4" fillId="0" borderId="11" xfId="0" applyFont="1" applyFill="1" applyBorder="1" applyAlignment="1">
      <alignment vertical="top"/>
    </xf>
    <xf numFmtId="1" fontId="4" fillId="0" borderId="9" xfId="2" applyNumberFormat="1" applyFont="1" applyFill="1" applyBorder="1" applyAlignment="1">
      <alignment horizontal="left" vertical="top" wrapText="1"/>
    </xf>
    <xf numFmtId="9" fontId="4" fillId="0" borderId="0" xfId="2" applyNumberFormat="1" applyFont="1" applyFill="1" applyBorder="1" applyAlignment="1">
      <alignment horizontal="left" vertical="top" wrapText="1"/>
    </xf>
    <xf numFmtId="165" fontId="4" fillId="0" borderId="6" xfId="1" applyNumberFormat="1" applyFont="1" applyFill="1" applyBorder="1" applyAlignment="1">
      <alignment horizontal="left" vertical="top" wrapText="1"/>
    </xf>
    <xf numFmtId="184" fontId="4" fillId="0" borderId="6" xfId="1" applyNumberFormat="1" applyFont="1" applyFill="1" applyBorder="1" applyAlignment="1">
      <alignment horizontal="left" vertical="top" wrapText="1"/>
    </xf>
    <xf numFmtId="1" fontId="4" fillId="0" borderId="6" xfId="2" applyNumberFormat="1" applyFont="1" applyFill="1" applyBorder="1" applyAlignment="1">
      <alignment horizontal="left" vertical="center" wrapText="1"/>
    </xf>
    <xf numFmtId="1" fontId="4" fillId="0" borderId="7" xfId="2" applyNumberFormat="1" applyFont="1" applyFill="1" applyBorder="1" applyAlignment="1">
      <alignment horizontal="left" vertical="center" wrapText="1"/>
    </xf>
    <xf numFmtId="9" fontId="4" fillId="0" borderId="15" xfId="2" applyNumberFormat="1" applyFont="1" applyFill="1" applyBorder="1" applyAlignment="1">
      <alignment horizontal="left" vertical="top" wrapText="1"/>
    </xf>
    <xf numFmtId="0" fontId="0" fillId="0" borderId="3" xfId="0" applyFill="1" applyBorder="1"/>
    <xf numFmtId="10" fontId="4" fillId="0" borderId="6" xfId="2" applyNumberFormat="1" applyFont="1" applyFill="1" applyBorder="1" applyAlignment="1">
      <alignment horizontal="left" vertical="top" wrapText="1"/>
    </xf>
    <xf numFmtId="0" fontId="12" fillId="0" borderId="0" xfId="3" applyFont="1" applyFill="1" applyBorder="1" applyAlignment="1" applyProtection="1">
      <alignment horizontal="left" vertical="center"/>
    </xf>
    <xf numFmtId="0" fontId="10" fillId="0" borderId="5" xfId="0" applyFont="1" applyFill="1" applyBorder="1"/>
    <xf numFmtId="0" fontId="4" fillId="0" borderId="12" xfId="0" applyFont="1" applyFill="1" applyBorder="1" applyAlignment="1">
      <alignment vertical="top"/>
    </xf>
    <xf numFmtId="0" fontId="4" fillId="0" borderId="5" xfId="0" applyFont="1" applyFill="1" applyBorder="1" applyAlignment="1">
      <alignment horizontal="left" vertical="top"/>
    </xf>
    <xf numFmtId="0" fontId="4" fillId="0" borderId="5" xfId="1" applyNumberFormat="1" applyFont="1" applyFill="1" applyBorder="1" applyAlignment="1">
      <alignment horizontal="left" vertical="top" wrapText="1"/>
    </xf>
    <xf numFmtId="0" fontId="4" fillId="0" borderId="10" xfId="0" applyFont="1" applyFill="1" applyBorder="1" applyAlignment="1">
      <alignment vertical="top"/>
    </xf>
    <xf numFmtId="0" fontId="4" fillId="0" borderId="3" xfId="0" applyFont="1" applyFill="1" applyBorder="1" applyAlignment="1">
      <alignment vertical="top"/>
    </xf>
    <xf numFmtId="1" fontId="3" fillId="0" borderId="2" xfId="1" applyNumberFormat="1" applyFont="1" applyFill="1" applyBorder="1" applyAlignment="1">
      <alignment horizontal="left" vertical="top" wrapText="1"/>
    </xf>
    <xf numFmtId="9" fontId="4" fillId="0" borderId="7" xfId="1" applyNumberFormat="1" applyFont="1" applyFill="1" applyBorder="1" applyAlignment="1">
      <alignment horizontal="left" vertical="top" wrapText="1"/>
    </xf>
    <xf numFmtId="10" fontId="4" fillId="0" borderId="4" xfId="1" applyNumberFormat="1" applyFont="1" applyFill="1" applyBorder="1" applyAlignment="1">
      <alignment horizontal="left" vertical="top" wrapText="1"/>
    </xf>
    <xf numFmtId="0" fontId="13" fillId="0" borderId="12" xfId="0" applyFont="1" applyFill="1" applyBorder="1"/>
    <xf numFmtId="0" fontId="5" fillId="0" borderId="0" xfId="3" applyFill="1"/>
    <xf numFmtId="0" fontId="4" fillId="0" borderId="14" xfId="0" applyFont="1" applyFill="1" applyBorder="1" applyAlignment="1">
      <alignment horizontal="center" vertical="center"/>
    </xf>
    <xf numFmtId="49" fontId="4" fillId="0" borderId="1" xfId="0" applyNumberFormat="1" applyFont="1" applyFill="1" applyBorder="1" applyAlignment="1">
      <alignment horizontal="center" vertical="center"/>
    </xf>
    <xf numFmtId="165" fontId="4" fillId="0" borderId="6" xfId="1" quotePrefix="1" applyNumberFormat="1" applyFont="1" applyFill="1" applyBorder="1" applyAlignment="1">
      <alignment horizontal="center" vertical="top" wrapText="1"/>
    </xf>
    <xf numFmtId="165" fontId="4" fillId="0" borderId="6" xfId="2" quotePrefix="1" applyNumberFormat="1" applyFont="1" applyFill="1" applyBorder="1" applyAlignment="1">
      <alignment horizontal="center" vertical="top"/>
    </xf>
    <xf numFmtId="0" fontId="3" fillId="0" borderId="15" xfId="0" applyFont="1" applyFill="1" applyBorder="1" applyAlignment="1">
      <alignment horizontal="left" vertical="center" wrapText="1"/>
    </xf>
    <xf numFmtId="1" fontId="3" fillId="0" borderId="15" xfId="2" applyNumberFormat="1" applyFont="1" applyFill="1" applyBorder="1" applyAlignment="1">
      <alignment horizontal="left" vertical="top" wrapText="1"/>
    </xf>
    <xf numFmtId="1" fontId="4" fillId="0" borderId="15" xfId="2" applyNumberFormat="1" applyFont="1" applyFill="1" applyBorder="1" applyAlignment="1">
      <alignment horizontal="left" vertical="top" wrapText="1"/>
    </xf>
    <xf numFmtId="165" fontId="4" fillId="0" borderId="5" xfId="2" quotePrefix="1" applyNumberFormat="1" applyFont="1" applyFill="1" applyBorder="1" applyAlignment="1">
      <alignment horizontal="center" vertical="top"/>
    </xf>
    <xf numFmtId="0" fontId="4" fillId="0" borderId="10" xfId="0" applyFont="1" applyFill="1" applyBorder="1" applyAlignment="1">
      <alignment vertical="top" wrapText="1"/>
    </xf>
    <xf numFmtId="1" fontId="3" fillId="0" borderId="10" xfId="2" applyNumberFormat="1" applyFont="1" applyFill="1" applyBorder="1" applyAlignment="1">
      <alignment horizontal="left" vertical="top" wrapText="1"/>
    </xf>
    <xf numFmtId="165" fontId="4" fillId="0" borderId="3" xfId="1" quotePrefix="1" applyNumberFormat="1" applyFont="1" applyFill="1" applyBorder="1" applyAlignment="1">
      <alignment horizontal="center" vertical="top" wrapText="1"/>
    </xf>
    <xf numFmtId="165" fontId="4" fillId="0" borderId="5" xfId="1" quotePrefix="1" applyNumberFormat="1" applyFont="1" applyFill="1" applyBorder="1" applyAlignment="1">
      <alignment horizontal="center" vertical="top" wrapText="1"/>
    </xf>
    <xf numFmtId="165" fontId="4" fillId="0" borderId="7" xfId="1" quotePrefix="1" applyNumberFormat="1" applyFont="1" applyFill="1" applyBorder="1" applyAlignment="1">
      <alignment vertical="top" wrapText="1"/>
    </xf>
    <xf numFmtId="0" fontId="4" fillId="0" borderId="15" xfId="0" applyFont="1" applyFill="1" applyBorder="1" applyAlignment="1">
      <alignment vertical="top" wrapText="1"/>
    </xf>
    <xf numFmtId="1" fontId="4" fillId="0" borderId="6" xfId="2" quotePrefix="1" applyNumberFormat="1" applyFont="1" applyFill="1" applyBorder="1" applyAlignment="1">
      <alignment horizontal="left" vertical="top" wrapText="1"/>
    </xf>
    <xf numFmtId="0" fontId="3" fillId="0" borderId="15" xfId="0" applyFont="1" applyFill="1" applyBorder="1" applyAlignment="1">
      <alignment horizontal="left" vertical="top" wrapText="1"/>
    </xf>
    <xf numFmtId="0" fontId="13" fillId="0" borderId="5" xfId="0" applyFont="1" applyFill="1" applyBorder="1" applyAlignment="1">
      <alignment vertical="top"/>
    </xf>
    <xf numFmtId="165" fontId="4" fillId="0" borderId="6" xfId="1" quotePrefix="1" applyNumberFormat="1" applyFont="1" applyFill="1" applyBorder="1" applyAlignment="1">
      <alignment horizontal="left" vertical="top" wrapText="1"/>
    </xf>
    <xf numFmtId="1" fontId="3" fillId="0" borderId="11" xfId="1" applyNumberFormat="1" applyFont="1" applyFill="1" applyBorder="1" applyAlignment="1">
      <alignment horizontal="left" vertical="top" wrapText="1"/>
    </xf>
    <xf numFmtId="165" fontId="4" fillId="0" borderId="6" xfId="2" quotePrefix="1" applyNumberFormat="1" applyFont="1" applyFill="1" applyBorder="1" applyAlignment="1">
      <alignment horizontal="center" vertical="top" wrapText="1"/>
    </xf>
    <xf numFmtId="1" fontId="4" fillId="0" borderId="3" xfId="2" applyNumberFormat="1" applyFont="1" applyFill="1" applyBorder="1" applyAlignment="1">
      <alignment horizontal="left" vertical="top" wrapText="1"/>
    </xf>
    <xf numFmtId="1" fontId="4" fillId="0" borderId="4" xfId="2" applyNumberFormat="1" applyFont="1" applyFill="1" applyBorder="1" applyAlignment="1">
      <alignment horizontal="left" vertical="top" wrapText="1"/>
    </xf>
    <xf numFmtId="1" fontId="4" fillId="0" borderId="5" xfId="2" applyNumberFormat="1" applyFont="1" applyFill="1" applyBorder="1" applyAlignment="1">
      <alignment vertical="top" wrapText="1"/>
    </xf>
    <xf numFmtId="165" fontId="4" fillId="0" borderId="6" xfId="2" quotePrefix="1" applyNumberFormat="1" applyFont="1" applyFill="1" applyBorder="1" applyAlignment="1">
      <alignment horizontal="left" vertical="top" wrapText="1"/>
    </xf>
    <xf numFmtId="164" fontId="4" fillId="0" borderId="15" xfId="2" applyNumberFormat="1" applyFont="1" applyFill="1" applyBorder="1" applyAlignment="1">
      <alignment horizontal="left" vertical="top" wrapText="1"/>
    </xf>
    <xf numFmtId="164" fontId="3" fillId="0" borderId="15" xfId="2" applyNumberFormat="1" applyFont="1" applyFill="1" applyBorder="1" applyAlignment="1">
      <alignment horizontal="left" vertical="top" wrapText="1"/>
    </xf>
    <xf numFmtId="164" fontId="4" fillId="0" borderId="6" xfId="2" quotePrefix="1" applyNumberFormat="1" applyFont="1" applyFill="1" applyBorder="1" applyAlignment="1">
      <alignment vertical="top" wrapText="1"/>
    </xf>
    <xf numFmtId="164" fontId="4" fillId="0" borderId="5" xfId="2" applyNumberFormat="1" applyFont="1" applyFill="1" applyBorder="1" applyAlignment="1">
      <alignment horizontal="left" vertical="top" wrapText="1"/>
    </xf>
    <xf numFmtId="164" fontId="4" fillId="0" borderId="6" xfId="2" applyNumberFormat="1" applyFont="1" applyFill="1" applyBorder="1" applyAlignment="1">
      <alignment horizontal="left" vertical="top" wrapText="1"/>
    </xf>
    <xf numFmtId="164" fontId="4" fillId="0" borderId="7" xfId="2" applyNumberFormat="1" applyFont="1" applyFill="1" applyBorder="1" applyAlignment="1">
      <alignment horizontal="left" vertical="top" wrapText="1"/>
    </xf>
    <xf numFmtId="0" fontId="5" fillId="0" borderId="0" xfId="3" applyFill="1" applyBorder="1" applyAlignment="1" applyProtection="1">
      <alignment horizontal="left" vertical="center"/>
    </xf>
    <xf numFmtId="0" fontId="4" fillId="0" borderId="5" xfId="5" applyFont="1" applyFill="1" applyBorder="1" applyAlignment="1">
      <alignment horizontal="left" vertical="top" wrapText="1"/>
    </xf>
    <xf numFmtId="166" fontId="4" fillId="0" borderId="15" xfId="5" quotePrefix="1" applyNumberFormat="1" applyFont="1" applyFill="1" applyBorder="1" applyAlignment="1">
      <alignment horizontal="center" vertical="top"/>
    </xf>
    <xf numFmtId="0" fontId="16" fillId="0" borderId="15" xfId="2" applyFont="1" applyFill="1" applyBorder="1" applyAlignment="1">
      <alignment horizontal="left" vertical="top" wrapText="1"/>
    </xf>
    <xf numFmtId="9" fontId="4" fillId="0" borderId="15" xfId="1" applyFont="1" applyFill="1" applyBorder="1" applyAlignment="1">
      <alignment horizontal="center" vertical="top" wrapText="1"/>
    </xf>
    <xf numFmtId="0" fontId="8" fillId="0" borderId="16" xfId="2" applyFont="1" applyFill="1" applyBorder="1" applyAlignment="1">
      <alignment horizontal="left" vertical="top" wrapText="1"/>
    </xf>
    <xf numFmtId="0" fontId="4" fillId="0" borderId="5" xfId="5" applyFont="1" applyFill="1" applyBorder="1" applyAlignment="1">
      <alignment horizontal="left" vertical="top"/>
    </xf>
    <xf numFmtId="10" fontId="0" fillId="0" borderId="0" xfId="0" applyNumberFormat="1" applyFill="1"/>
    <xf numFmtId="0" fontId="21" fillId="0" borderId="0" xfId="0" applyFont="1" applyFill="1"/>
    <xf numFmtId="165" fontId="0" fillId="0" borderId="0" xfId="1" applyNumberFormat="1" applyFont="1" applyFill="1"/>
    <xf numFmtId="165" fontId="4" fillId="0" borderId="14" xfId="1" applyNumberFormat="1" applyFont="1" applyFill="1" applyBorder="1" applyAlignment="1">
      <alignment horizontal="center" vertical="top" wrapText="1"/>
    </xf>
    <xf numFmtId="0" fontId="4" fillId="0" borderId="2" xfId="1" applyNumberFormat="1" applyFont="1" applyFill="1" applyBorder="1" applyAlignment="1">
      <alignment horizontal="left" vertical="top" wrapText="1"/>
    </xf>
    <xf numFmtId="0" fontId="4" fillId="0" borderId="9" xfId="1" applyNumberFormat="1" applyFont="1" applyFill="1" applyBorder="1" applyAlignment="1">
      <alignment horizontal="left" vertical="top" wrapText="1"/>
    </xf>
    <xf numFmtId="0" fontId="4" fillId="0" borderId="3" xfId="0" applyFont="1" applyFill="1" applyBorder="1" applyAlignment="1">
      <alignment horizontal="left" vertical="top"/>
    </xf>
    <xf numFmtId="10" fontId="4" fillId="0" borderId="0" xfId="1" applyNumberFormat="1" applyFont="1" applyFill="1" applyBorder="1" applyAlignment="1">
      <alignment horizontal="left" vertical="top" wrapText="1"/>
    </xf>
    <xf numFmtId="1" fontId="3" fillId="0" borderId="6" xfId="1" applyNumberFormat="1" applyFont="1" applyFill="1" applyBorder="1" applyAlignment="1">
      <alignment horizontal="left" vertical="top" wrapText="1"/>
    </xf>
    <xf numFmtId="0" fontId="4" fillId="0" borderId="0" xfId="5" applyFont="1" applyFill="1" applyBorder="1" applyAlignment="1">
      <alignment horizontal="left" vertical="top"/>
    </xf>
    <xf numFmtId="0" fontId="4" fillId="0" borderId="0" xfId="0" applyFont="1" applyFill="1" applyAlignment="1">
      <alignment horizontal="center" vertical="top"/>
    </xf>
    <xf numFmtId="0" fontId="13" fillId="0" borderId="0" xfId="0" applyFont="1" applyFill="1" applyAlignment="1">
      <alignment horizontal="center"/>
    </xf>
    <xf numFmtId="0" fontId="0" fillId="0" borderId="0" xfId="0" applyFill="1" applyBorder="1" applyAlignment="1">
      <alignment horizontal="center"/>
    </xf>
    <xf numFmtId="0" fontId="0" fillId="0" borderId="0" xfId="0" applyFill="1" applyAlignment="1">
      <alignment horizontal="center"/>
    </xf>
    <xf numFmtId="0" fontId="3" fillId="0" borderId="0" xfId="0" applyFont="1" applyFill="1" applyAlignment="1">
      <alignment horizontal="center" vertical="center"/>
    </xf>
    <xf numFmtId="0" fontId="13" fillId="0" borderId="0" xfId="0" applyFont="1" applyFill="1" applyAlignment="1">
      <alignment horizontal="left" vertical="top"/>
    </xf>
    <xf numFmtId="9" fontId="4" fillId="0" borderId="2" xfId="2" applyNumberFormat="1" applyFont="1" applyFill="1" applyBorder="1" applyAlignment="1">
      <alignment horizontal="center" vertical="top" wrapText="1"/>
    </xf>
    <xf numFmtId="9" fontId="4" fillId="0" borderId="4" xfId="2" applyNumberFormat="1" applyFont="1" applyFill="1" applyBorder="1" applyAlignment="1">
      <alignment horizontal="center" vertical="top" wrapText="1"/>
    </xf>
    <xf numFmtId="9" fontId="4" fillId="0" borderId="8" xfId="2" applyNumberFormat="1" applyFont="1" applyFill="1" applyBorder="1" applyAlignment="1">
      <alignment horizontal="center" vertical="top" wrapText="1"/>
    </xf>
    <xf numFmtId="9" fontId="4" fillId="0" borderId="9" xfId="2" applyNumberFormat="1" applyFont="1" applyFill="1" applyBorder="1" applyAlignment="1">
      <alignment horizontal="center" vertical="top" wrapText="1"/>
    </xf>
    <xf numFmtId="0" fontId="4" fillId="0" borderId="13" xfId="1" quotePrefix="1" applyNumberFormat="1" applyFont="1" applyFill="1" applyBorder="1" applyAlignment="1">
      <alignment horizontal="center" vertical="top" wrapText="1"/>
    </xf>
    <xf numFmtId="9" fontId="4" fillId="0" borderId="12" xfId="2" applyNumberFormat="1" applyFont="1" applyFill="1" applyBorder="1" applyAlignment="1">
      <alignment horizontal="center" vertical="top" wrapText="1"/>
    </xf>
    <xf numFmtId="9" fontId="4" fillId="0" borderId="13" xfId="2" applyNumberFormat="1" applyFont="1" applyFill="1" applyBorder="1" applyAlignment="1">
      <alignment horizontal="center" vertical="top" wrapText="1"/>
    </xf>
    <xf numFmtId="0" fontId="4" fillId="0" borderId="2" xfId="0" applyFont="1" applyFill="1" applyBorder="1" applyAlignment="1">
      <alignment vertical="top"/>
    </xf>
    <xf numFmtId="1" fontId="4" fillId="0" borderId="11" xfId="1" applyNumberFormat="1" applyFont="1" applyFill="1" applyBorder="1" applyAlignment="1">
      <alignment horizontal="left" vertical="top" wrapText="1"/>
    </xf>
    <xf numFmtId="1" fontId="4" fillId="0" borderId="11" xfId="2" applyNumberFormat="1" applyFont="1" applyFill="1" applyBorder="1" applyAlignment="1">
      <alignment horizontal="left" vertical="top" wrapText="1"/>
    </xf>
    <xf numFmtId="1" fontId="4" fillId="0" borderId="14" xfId="1" applyNumberFormat="1" applyFont="1" applyFill="1" applyBorder="1" applyAlignment="1">
      <alignment horizontal="left" vertical="top" wrapText="1"/>
    </xf>
    <xf numFmtId="0" fontId="4" fillId="0" borderId="3" xfId="0" applyFont="1" applyFill="1" applyBorder="1" applyAlignment="1">
      <alignment vertical="center"/>
    </xf>
    <xf numFmtId="9" fontId="4" fillId="0" borderId="11" xfId="1" applyFont="1" applyFill="1" applyBorder="1" applyAlignment="1">
      <alignment horizontal="center" vertical="top" wrapText="1"/>
    </xf>
    <xf numFmtId="0" fontId="4" fillId="0" borderId="1" xfId="0" applyFont="1" applyFill="1" applyBorder="1" applyAlignment="1">
      <alignment vertical="center"/>
    </xf>
    <xf numFmtId="9" fontId="4" fillId="0" borderId="14" xfId="1" applyFont="1" applyFill="1" applyBorder="1" applyAlignment="1">
      <alignment horizontal="center" vertical="top" wrapText="1"/>
    </xf>
    <xf numFmtId="0" fontId="4" fillId="0" borderId="9" xfId="2" quotePrefix="1" applyNumberFormat="1" applyFont="1" applyFill="1" applyBorder="1" applyAlignment="1">
      <alignment horizontal="center" vertical="top" wrapText="1"/>
    </xf>
    <xf numFmtId="165" fontId="4" fillId="0" borderId="13" xfId="1" applyNumberFormat="1" applyFont="1" applyFill="1" applyBorder="1" applyAlignment="1">
      <alignment horizontal="center" vertical="top" wrapText="1"/>
    </xf>
    <xf numFmtId="0" fontId="4" fillId="0" borderId="1" xfId="0" applyFont="1" applyFill="1" applyBorder="1" applyAlignment="1">
      <alignment vertical="top"/>
    </xf>
    <xf numFmtId="1" fontId="4" fillId="0" borderId="10" xfId="2" applyNumberFormat="1" applyFont="1" applyFill="1" applyBorder="1" applyAlignment="1">
      <alignment horizontal="left" vertical="top" wrapText="1"/>
    </xf>
    <xf numFmtId="9" fontId="4" fillId="0" borderId="13" xfId="1" applyFont="1" applyFill="1" applyBorder="1" applyAlignment="1">
      <alignment vertical="top" wrapText="1"/>
    </xf>
    <xf numFmtId="1" fontId="4" fillId="0" borderId="11" xfId="2" applyNumberFormat="1" applyFont="1" applyFill="1" applyBorder="1" applyAlignment="1">
      <alignment vertical="top" wrapText="1"/>
    </xf>
    <xf numFmtId="0" fontId="13" fillId="0" borderId="0" xfId="0" applyFont="1" applyFill="1" applyAlignment="1">
      <alignment vertical="center"/>
    </xf>
    <xf numFmtId="1" fontId="3" fillId="0" borderId="10" xfId="1" applyNumberFormat="1" applyFont="1" applyFill="1" applyBorder="1" applyAlignment="1">
      <alignment vertical="center" wrapText="1"/>
    </xf>
    <xf numFmtId="1" fontId="4" fillId="0" borderId="10" xfId="1" applyNumberFormat="1" applyFont="1" applyFill="1" applyBorder="1" applyAlignment="1">
      <alignment vertical="center" wrapText="1"/>
    </xf>
    <xf numFmtId="1" fontId="4" fillId="0" borderId="4" xfId="1" applyNumberFormat="1" applyFont="1" applyFill="1" applyBorder="1" applyAlignment="1">
      <alignment vertical="center" wrapText="1"/>
    </xf>
    <xf numFmtId="0" fontId="4" fillId="0" borderId="4" xfId="1" applyNumberFormat="1" applyFont="1" applyFill="1" applyBorder="1" applyAlignment="1">
      <alignment horizontal="center" vertical="center" wrapText="1"/>
    </xf>
    <xf numFmtId="9" fontId="4" fillId="0" borderId="2" xfId="1" applyFont="1" applyFill="1" applyBorder="1" applyAlignment="1">
      <alignment horizontal="center" vertical="center" wrapText="1"/>
    </xf>
    <xf numFmtId="9" fontId="4" fillId="0" borderId="4" xfId="1" applyFont="1" applyFill="1" applyBorder="1" applyAlignment="1">
      <alignment horizontal="center" vertical="center" wrapText="1"/>
    </xf>
    <xf numFmtId="0" fontId="0" fillId="0" borderId="0" xfId="0" applyFill="1" applyAlignment="1">
      <alignment vertical="center"/>
    </xf>
    <xf numFmtId="1" fontId="4" fillId="0" borderId="9" xfId="1" applyNumberFormat="1" applyFont="1" applyFill="1" applyBorder="1" applyAlignment="1">
      <alignment vertical="center" wrapText="1"/>
    </xf>
    <xf numFmtId="1" fontId="4" fillId="0" borderId="11" xfId="1" applyNumberFormat="1" applyFont="1" applyFill="1" applyBorder="1" applyAlignment="1">
      <alignment vertical="center" wrapText="1"/>
    </xf>
    <xf numFmtId="0" fontId="4" fillId="0" borderId="9" xfId="1" quotePrefix="1" applyNumberFormat="1" applyFont="1" applyFill="1" applyBorder="1" applyAlignment="1">
      <alignment horizontal="center" vertical="center" wrapText="1"/>
    </xf>
    <xf numFmtId="9" fontId="4" fillId="0" borderId="8" xfId="2" applyNumberFormat="1" applyFont="1" applyFill="1" applyBorder="1" applyAlignment="1">
      <alignment horizontal="center" vertical="center" wrapText="1"/>
    </xf>
    <xf numFmtId="9" fontId="4" fillId="0" borderId="9" xfId="1" applyFont="1" applyFill="1" applyBorder="1" applyAlignment="1">
      <alignment horizontal="center" vertical="center" wrapText="1"/>
    </xf>
    <xf numFmtId="9" fontId="4" fillId="0" borderId="9" xfId="1" quotePrefix="1" applyFont="1" applyFill="1" applyBorder="1" applyAlignment="1">
      <alignment horizontal="center" vertical="center" wrapText="1"/>
    </xf>
    <xf numFmtId="0" fontId="13" fillId="0" borderId="0" xfId="0" applyFont="1" applyFill="1" applyAlignment="1">
      <alignment horizontal="left" vertical="center"/>
    </xf>
    <xf numFmtId="1" fontId="3" fillId="0" borderId="11" xfId="1" applyNumberFormat="1" applyFont="1" applyFill="1" applyBorder="1" applyAlignment="1">
      <alignment vertical="center" wrapText="1"/>
    </xf>
    <xf numFmtId="9" fontId="4" fillId="0" borderId="8" xfId="1" applyFont="1" applyFill="1" applyBorder="1" applyAlignment="1">
      <alignment horizontal="center" vertical="center" wrapText="1"/>
    </xf>
    <xf numFmtId="0" fontId="13" fillId="0" borderId="0" xfId="0" applyFont="1" applyFill="1" applyBorder="1" applyAlignment="1">
      <alignment horizontal="left" vertical="center"/>
    </xf>
    <xf numFmtId="0" fontId="4" fillId="0" borderId="9" xfId="1" applyNumberFormat="1" applyFont="1" applyFill="1" applyBorder="1" applyAlignment="1">
      <alignment horizontal="center" vertical="center" wrapText="1"/>
    </xf>
    <xf numFmtId="0" fontId="0" fillId="0" borderId="0" xfId="0" applyFill="1" applyBorder="1" applyAlignment="1">
      <alignment vertical="center"/>
    </xf>
    <xf numFmtId="1" fontId="4" fillId="0" borderId="14" xfId="1" applyNumberFormat="1" applyFont="1" applyFill="1" applyBorder="1" applyAlignment="1">
      <alignment vertical="center" wrapText="1"/>
    </xf>
    <xf numFmtId="1" fontId="4" fillId="0" borderId="13" xfId="1" applyNumberFormat="1" applyFont="1" applyFill="1" applyBorder="1" applyAlignment="1">
      <alignment vertical="center" wrapText="1"/>
    </xf>
    <xf numFmtId="0" fontId="4" fillId="0" borderId="13" xfId="1" applyNumberFormat="1" applyFont="1" applyFill="1" applyBorder="1" applyAlignment="1">
      <alignment horizontal="center" vertical="center" wrapText="1"/>
    </xf>
    <xf numFmtId="9" fontId="4" fillId="0" borderId="12" xfId="1" applyFont="1" applyFill="1" applyBorder="1" applyAlignment="1">
      <alignment horizontal="center" vertical="center" wrapText="1"/>
    </xf>
    <xf numFmtId="9" fontId="4" fillId="0" borderId="13" xfId="1" applyFont="1" applyFill="1" applyBorder="1" applyAlignment="1">
      <alignment horizontal="center" vertical="center" wrapText="1"/>
    </xf>
    <xf numFmtId="0" fontId="4" fillId="0" borderId="3" xfId="0" applyFont="1" applyFill="1" applyBorder="1"/>
    <xf numFmtId="0" fontId="4" fillId="0" borderId="1" xfId="0" applyFont="1" applyFill="1" applyBorder="1" applyAlignment="1">
      <alignment horizontal="left" vertical="top"/>
    </xf>
    <xf numFmtId="1" fontId="4" fillId="0" borderId="10" xfId="2" applyNumberFormat="1" applyFont="1" applyFill="1" applyBorder="1" applyAlignment="1">
      <alignment vertical="top" wrapText="1"/>
    </xf>
    <xf numFmtId="10" fontId="4" fillId="0" borderId="9" xfId="1" applyNumberFormat="1" applyFont="1" applyFill="1" applyBorder="1" applyAlignment="1">
      <alignment horizontal="center" vertical="top" wrapText="1"/>
    </xf>
    <xf numFmtId="1" fontId="4" fillId="0" borderId="9" xfId="2" applyNumberFormat="1" applyFont="1" applyFill="1" applyBorder="1" applyAlignment="1">
      <alignment vertical="top" wrapText="1"/>
    </xf>
    <xf numFmtId="0" fontId="4" fillId="0" borderId="3" xfId="2" applyFont="1" applyFill="1" applyBorder="1" applyAlignment="1">
      <alignment vertical="top"/>
    </xf>
    <xf numFmtId="0" fontId="4" fillId="0" borderId="0" xfId="2" applyFont="1" applyFill="1" applyBorder="1" applyAlignment="1">
      <alignment vertical="top"/>
    </xf>
    <xf numFmtId="0" fontId="4" fillId="0" borderId="1" xfId="2" applyFont="1" applyFill="1" applyBorder="1" applyAlignment="1">
      <alignment vertical="top"/>
    </xf>
    <xf numFmtId="0" fontId="13" fillId="0" borderId="0" xfId="0" applyFont="1" applyFill="1" applyAlignment="1">
      <alignment horizontal="center" vertical="center"/>
    </xf>
    <xf numFmtId="0" fontId="0" fillId="0" borderId="0" xfId="0" applyFill="1" applyAlignment="1">
      <alignment horizontal="center" vertical="center"/>
    </xf>
    <xf numFmtId="0" fontId="4" fillId="0" borderId="4" xfId="1" quotePrefix="1" applyNumberFormat="1" applyFont="1" applyFill="1" applyBorder="1" applyAlignment="1">
      <alignment horizontal="center" vertical="center" wrapText="1"/>
    </xf>
    <xf numFmtId="0" fontId="4" fillId="0" borderId="13" xfId="1" quotePrefix="1" applyNumberFormat="1" applyFont="1" applyFill="1" applyBorder="1" applyAlignment="1">
      <alignment horizontal="center" vertical="center" wrapText="1"/>
    </xf>
    <xf numFmtId="0" fontId="4" fillId="0" borderId="2" xfId="2" applyFont="1" applyFill="1" applyBorder="1" applyAlignment="1">
      <alignment vertical="center"/>
    </xf>
    <xf numFmtId="1" fontId="4" fillId="0" borderId="4" xfId="2" applyNumberFormat="1" applyFont="1" applyFill="1" applyBorder="1" applyAlignment="1">
      <alignment vertical="top" wrapText="1"/>
    </xf>
    <xf numFmtId="0" fontId="4" fillId="0" borderId="4" xfId="2" applyNumberFormat="1" applyFont="1" applyFill="1" applyBorder="1" applyAlignment="1">
      <alignment horizontal="center" vertical="top" wrapText="1"/>
    </xf>
    <xf numFmtId="0" fontId="4" fillId="0" borderId="12" xfId="2" applyFont="1" applyFill="1" applyBorder="1" applyAlignment="1">
      <alignment vertical="center"/>
    </xf>
    <xf numFmtId="1" fontId="4" fillId="0" borderId="14" xfId="2" applyNumberFormat="1" applyFont="1" applyFill="1" applyBorder="1" applyAlignment="1">
      <alignment vertical="top" wrapText="1"/>
    </xf>
    <xf numFmtId="1" fontId="4" fillId="0" borderId="13" xfId="2" applyNumberFormat="1" applyFont="1" applyFill="1" applyBorder="1" applyAlignment="1">
      <alignment vertical="top" wrapText="1"/>
    </xf>
    <xf numFmtId="0" fontId="4" fillId="0" borderId="13" xfId="2" applyNumberFormat="1" applyFont="1" applyFill="1" applyBorder="1" applyAlignment="1">
      <alignment horizontal="center" vertical="top" wrapText="1"/>
    </xf>
    <xf numFmtId="0" fontId="4" fillId="0" borderId="2" xfId="2" applyFont="1" applyFill="1" applyBorder="1" applyAlignment="1">
      <alignment vertical="top" wrapText="1"/>
    </xf>
    <xf numFmtId="0" fontId="4" fillId="0" borderId="4" xfId="2" quotePrefix="1" applyNumberFormat="1" applyFont="1" applyFill="1" applyBorder="1" applyAlignment="1">
      <alignment horizontal="left" vertical="top" wrapText="1"/>
    </xf>
    <xf numFmtId="1" fontId="4" fillId="0" borderId="9" xfId="2" applyNumberFormat="1" applyFont="1" applyFill="1" applyBorder="1" applyAlignment="1">
      <alignment horizontal="center" vertical="top" wrapText="1"/>
    </xf>
    <xf numFmtId="1" fontId="4" fillId="0" borderId="14" xfId="2" applyNumberFormat="1" applyFont="1" applyFill="1" applyBorder="1" applyAlignment="1">
      <alignment horizontal="left" vertical="top" wrapText="1"/>
    </xf>
    <xf numFmtId="1" fontId="4" fillId="0" borderId="13" xfId="2" applyNumberFormat="1" applyFont="1" applyFill="1" applyBorder="1" applyAlignment="1">
      <alignment horizontal="center" vertical="top" wrapText="1"/>
    </xf>
    <xf numFmtId="1" fontId="4" fillId="0" borderId="12" xfId="2" applyNumberFormat="1" applyFont="1" applyFill="1" applyBorder="1" applyAlignment="1">
      <alignment horizontal="center" vertical="top" wrapText="1"/>
    </xf>
    <xf numFmtId="1" fontId="4" fillId="0" borderId="8" xfId="2" applyNumberFormat="1" applyFont="1" applyFill="1" applyBorder="1" applyAlignment="1">
      <alignment horizontal="center" vertical="top" wrapText="1"/>
    </xf>
    <xf numFmtId="0" fontId="19" fillId="0" borderId="0" xfId="0" applyFont="1" applyFill="1" applyAlignment="1">
      <alignment vertical="center"/>
    </xf>
    <xf numFmtId="0" fontId="4" fillId="0" borderId="0" xfId="5" applyNumberFormat="1" applyFont="1" applyFill="1" applyBorder="1" applyAlignment="1">
      <alignment horizontal="center"/>
    </xf>
    <xf numFmtId="0" fontId="5" fillId="0" borderId="0" xfId="3" applyFill="1" applyBorder="1" applyAlignment="1" applyProtection="1">
      <alignment vertical="center"/>
    </xf>
    <xf numFmtId="0" fontId="4" fillId="0" borderId="12" xfId="0" applyFont="1" applyFill="1" applyBorder="1" applyAlignment="1">
      <alignment vertical="center" wrapText="1"/>
    </xf>
    <xf numFmtId="0" fontId="4" fillId="0" borderId="2" xfId="2" applyFont="1" applyFill="1" applyBorder="1" applyAlignment="1">
      <alignment horizontal="left" vertical="top" wrapText="1"/>
    </xf>
    <xf numFmtId="0" fontId="4" fillId="0" borderId="8" xfId="2" applyFont="1" applyFill="1" applyBorder="1" applyAlignment="1">
      <alignment horizontal="left" vertical="center" wrapText="1"/>
    </xf>
    <xf numFmtId="0" fontId="4" fillId="0" borderId="12" xfId="2" applyFont="1" applyFill="1" applyBorder="1" applyAlignment="1">
      <alignment horizontal="left" vertical="center" wrapText="1"/>
    </xf>
    <xf numFmtId="0" fontId="4" fillId="0" borderId="2" xfId="2" applyFont="1" applyFill="1" applyBorder="1" applyAlignment="1">
      <alignment vertical="top"/>
    </xf>
    <xf numFmtId="1" fontId="4" fillId="0" borderId="2" xfId="1" applyNumberFormat="1" applyFont="1" applyFill="1" applyBorder="1" applyAlignment="1">
      <alignment horizontal="center" vertical="top" wrapText="1"/>
    </xf>
    <xf numFmtId="1" fontId="4" fillId="0" borderId="8" xfId="1" applyNumberFormat="1" applyFont="1" applyFill="1" applyBorder="1" applyAlignment="1">
      <alignment horizontal="center" vertical="top" wrapText="1"/>
    </xf>
    <xf numFmtId="1" fontId="4" fillId="0" borderId="12" xfId="1" applyNumberFormat="1" applyFont="1" applyFill="1" applyBorder="1" applyAlignment="1">
      <alignment horizontal="center" vertical="top" wrapText="1"/>
    </xf>
    <xf numFmtId="166" fontId="4" fillId="0" borderId="8" xfId="1" applyNumberFormat="1" applyFont="1" applyFill="1" applyBorder="1" applyAlignment="1">
      <alignment horizontal="center" vertical="top" wrapText="1"/>
    </xf>
    <xf numFmtId="1" fontId="4" fillId="0" borderId="2" xfId="1" applyNumberFormat="1" applyFont="1" applyFill="1" applyBorder="1" applyAlignment="1">
      <alignment horizontal="center" vertical="center" wrapText="1"/>
    </xf>
    <xf numFmtId="1" fontId="4" fillId="0" borderId="8" xfId="1" applyNumberFormat="1" applyFont="1" applyFill="1" applyBorder="1" applyAlignment="1">
      <alignment horizontal="center" vertical="center" wrapText="1"/>
    </xf>
    <xf numFmtId="1" fontId="4" fillId="0" borderId="12" xfId="1" applyNumberFormat="1" applyFont="1" applyFill="1" applyBorder="1" applyAlignment="1">
      <alignment horizontal="center" vertical="center" wrapText="1"/>
    </xf>
    <xf numFmtId="1" fontId="4" fillId="0" borderId="2" xfId="2" applyNumberFormat="1" applyFont="1" applyFill="1" applyBorder="1" applyAlignment="1">
      <alignment horizontal="center" vertical="top" wrapText="1"/>
    </xf>
    <xf numFmtId="0" fontId="4" fillId="0" borderId="8" xfId="0" applyFont="1" applyFill="1" applyBorder="1" applyAlignment="1">
      <alignment horizontal="center" vertical="top"/>
    </xf>
    <xf numFmtId="0" fontId="13" fillId="0" borderId="14" xfId="0" applyFont="1" applyFill="1" applyBorder="1" applyAlignment="1">
      <alignment horizontal="center" vertical="center"/>
    </xf>
    <xf numFmtId="165" fontId="4" fillId="0" borderId="10" xfId="1" applyNumberFormat="1" applyFont="1" applyFill="1" applyBorder="1" applyAlignment="1">
      <alignment horizontal="center" vertical="top" wrapText="1"/>
    </xf>
    <xf numFmtId="165" fontId="4" fillId="0" borderId="11" xfId="1" applyNumberFormat="1" applyFont="1" applyFill="1" applyBorder="1" applyAlignment="1">
      <alignment horizontal="center" vertical="top" wrapText="1"/>
    </xf>
    <xf numFmtId="10" fontId="4" fillId="0" borderId="11" xfId="1" applyNumberFormat="1" applyFont="1" applyFill="1" applyBorder="1" applyAlignment="1">
      <alignment horizontal="center" vertical="top" wrapText="1"/>
    </xf>
    <xf numFmtId="10" fontId="4" fillId="0" borderId="10" xfId="1" applyNumberFormat="1" applyFont="1" applyFill="1" applyBorder="1" applyAlignment="1">
      <alignment horizontal="center" vertical="top" wrapText="1"/>
    </xf>
    <xf numFmtId="165" fontId="4" fillId="0" borderId="10" xfId="1" applyNumberFormat="1" applyFont="1" applyFill="1" applyBorder="1" applyAlignment="1">
      <alignment horizontal="center" vertical="center" wrapText="1"/>
    </xf>
    <xf numFmtId="165" fontId="4" fillId="0" borderId="11" xfId="1" applyNumberFormat="1" applyFont="1" applyFill="1" applyBorder="1" applyAlignment="1">
      <alignment horizontal="center" vertical="center" wrapText="1"/>
    </xf>
    <xf numFmtId="165" fontId="4" fillId="0" borderId="14" xfId="1" applyNumberFormat="1" applyFont="1" applyFill="1" applyBorder="1" applyAlignment="1">
      <alignment horizontal="center" vertical="center" wrapText="1"/>
    </xf>
    <xf numFmtId="165" fontId="4" fillId="0" borderId="10" xfId="2" applyNumberFormat="1" applyFont="1" applyFill="1" applyBorder="1" applyAlignment="1">
      <alignment horizontal="center" vertical="top" wrapText="1"/>
    </xf>
    <xf numFmtId="165" fontId="4" fillId="0" borderId="11" xfId="2" applyNumberFormat="1" applyFont="1" applyFill="1" applyBorder="1" applyAlignment="1">
      <alignment horizontal="center" vertical="top" wrapText="1"/>
    </xf>
    <xf numFmtId="165" fontId="4" fillId="0" borderId="14" xfId="2" applyNumberFormat="1" applyFont="1" applyFill="1" applyBorder="1" applyAlignment="1">
      <alignment horizontal="center" vertical="top" wrapText="1"/>
    </xf>
    <xf numFmtId="9" fontId="4" fillId="0" borderId="11" xfId="1" applyNumberFormat="1" applyFont="1" applyFill="1" applyBorder="1" applyAlignment="1">
      <alignment horizontal="center" vertical="top" wrapText="1"/>
    </xf>
    <xf numFmtId="10" fontId="4" fillId="0" borderId="14" xfId="1" applyNumberFormat="1" applyFont="1" applyFill="1" applyBorder="1" applyAlignment="1">
      <alignment horizontal="center" vertical="top" wrapText="1"/>
    </xf>
    <xf numFmtId="10" fontId="4" fillId="0" borderId="11" xfId="0" applyNumberFormat="1" applyFont="1" applyFill="1" applyBorder="1" applyAlignment="1">
      <alignment horizontal="right" vertical="top"/>
    </xf>
    <xf numFmtId="1" fontId="4" fillId="0" borderId="2" xfId="1" quotePrefix="1" applyNumberFormat="1" applyFont="1" applyFill="1" applyBorder="1" applyAlignment="1">
      <alignment horizontal="center" vertical="top" wrapText="1"/>
    </xf>
    <xf numFmtId="1" fontId="4" fillId="0" borderId="8" xfId="1" quotePrefix="1" applyNumberFormat="1" applyFont="1" applyFill="1" applyBorder="1" applyAlignment="1">
      <alignment horizontal="center" vertical="top" wrapText="1"/>
    </xf>
    <xf numFmtId="0" fontId="4" fillId="0" borderId="9" xfId="2" applyNumberFormat="1" applyFont="1" applyFill="1" applyBorder="1" applyAlignment="1">
      <alignment horizontal="center" vertical="top" wrapText="1"/>
    </xf>
    <xf numFmtId="1" fontId="4" fillId="0" borderId="8" xfId="1" quotePrefix="1" applyNumberFormat="1" applyFont="1" applyFill="1" applyBorder="1" applyAlignment="1">
      <alignment horizontal="center" vertical="center" wrapText="1"/>
    </xf>
    <xf numFmtId="1" fontId="4" fillId="0" borderId="2" xfId="2" quotePrefix="1" applyNumberFormat="1" applyFont="1" applyFill="1" applyBorder="1" applyAlignment="1">
      <alignment horizontal="center" vertical="top" wrapText="1"/>
    </xf>
    <xf numFmtId="1" fontId="4" fillId="0" borderId="12" xfId="2" quotePrefix="1" applyNumberFormat="1" applyFont="1" applyFill="1" applyBorder="1" applyAlignment="1">
      <alignment horizontal="center" vertical="top" wrapText="1"/>
    </xf>
    <xf numFmtId="1" fontId="4" fillId="0" borderId="9" xfId="2" quotePrefix="1" applyNumberFormat="1" applyFont="1" applyFill="1" applyBorder="1" applyAlignment="1">
      <alignment horizontal="center" vertical="top" wrapText="1"/>
    </xf>
    <xf numFmtId="9" fontId="4" fillId="0" borderId="2" xfId="1" applyFont="1" applyFill="1" applyBorder="1" applyAlignment="1">
      <alignment vertical="top" wrapText="1"/>
    </xf>
    <xf numFmtId="9" fontId="4" fillId="0" borderId="4" xfId="1" applyFont="1" applyFill="1" applyBorder="1" applyAlignment="1">
      <alignment vertical="top" wrapText="1"/>
    </xf>
    <xf numFmtId="9" fontId="4" fillId="0" borderId="8" xfId="1" applyFont="1" applyFill="1" applyBorder="1" applyAlignment="1">
      <alignment vertical="top" wrapText="1"/>
    </xf>
    <xf numFmtId="9" fontId="4" fillId="0" borderId="9" xfId="1" applyFont="1" applyFill="1" applyBorder="1" applyAlignment="1">
      <alignment vertical="top" wrapText="1"/>
    </xf>
    <xf numFmtId="9" fontId="4" fillId="0" borderId="10" xfId="2" applyNumberFormat="1" applyFont="1" applyFill="1" applyBorder="1" applyAlignment="1">
      <alignment horizontal="center" vertical="center" wrapText="1"/>
    </xf>
    <xf numFmtId="9" fontId="4" fillId="0" borderId="11" xfId="2" applyNumberFormat="1" applyFont="1" applyFill="1" applyBorder="1" applyAlignment="1">
      <alignment horizontal="center" vertical="center" wrapText="1"/>
    </xf>
    <xf numFmtId="9" fontId="4" fillId="0" borderId="11" xfId="1" applyFont="1" applyFill="1" applyBorder="1" applyAlignment="1">
      <alignment horizontal="center" vertical="center" wrapText="1"/>
    </xf>
    <xf numFmtId="9" fontId="4" fillId="0" borderId="14" xfId="1" applyFont="1" applyFill="1" applyBorder="1" applyAlignment="1">
      <alignment horizontal="center" vertical="center" wrapText="1"/>
    </xf>
    <xf numFmtId="9" fontId="4" fillId="0" borderId="10" xfId="2" applyNumberFormat="1" applyFont="1" applyFill="1" applyBorder="1" applyAlignment="1">
      <alignment horizontal="center" vertical="top" wrapText="1"/>
    </xf>
    <xf numFmtId="9" fontId="4" fillId="0" borderId="11" xfId="2" applyNumberFormat="1" applyFont="1" applyFill="1" applyBorder="1" applyAlignment="1">
      <alignment horizontal="center" vertical="top" wrapText="1"/>
    </xf>
    <xf numFmtId="1" fontId="4" fillId="0" borderId="14" xfId="2" applyNumberFormat="1" applyFont="1" applyFill="1" applyBorder="1" applyAlignment="1">
      <alignment horizontal="center" vertical="top" wrapText="1"/>
    </xf>
    <xf numFmtId="9" fontId="4" fillId="0" borderId="10" xfId="1" applyFont="1" applyFill="1" applyBorder="1" applyAlignment="1">
      <alignment horizontal="center" vertical="center" wrapText="1"/>
    </xf>
    <xf numFmtId="9" fontId="4" fillId="0" borderId="14" xfId="2" applyNumberFormat="1" applyFont="1" applyFill="1" applyBorder="1" applyAlignment="1">
      <alignment horizontal="center" vertical="top" wrapText="1"/>
    </xf>
    <xf numFmtId="1" fontId="4" fillId="0" borderId="11" xfId="2" applyNumberFormat="1" applyFont="1" applyFill="1" applyBorder="1" applyAlignment="1">
      <alignment horizontal="center" vertical="top" wrapText="1"/>
    </xf>
    <xf numFmtId="0" fontId="4" fillId="0" borderId="14" xfId="2" applyFont="1" applyFill="1" applyBorder="1" applyAlignment="1">
      <alignment vertical="top"/>
    </xf>
    <xf numFmtId="0" fontId="4" fillId="0" borderId="6" xfId="5" applyFont="1" applyFill="1" applyBorder="1" applyAlignment="1">
      <alignment horizontal="left" vertical="top" wrapText="1"/>
    </xf>
    <xf numFmtId="9" fontId="4" fillId="0" borderId="6" xfId="5" applyNumberFormat="1" applyFont="1" applyFill="1" applyBorder="1" applyAlignment="1">
      <alignment horizontal="left" vertical="top" wrapText="1"/>
    </xf>
    <xf numFmtId="9" fontId="13" fillId="0" borderId="6" xfId="1" applyNumberFormat="1" applyFont="1" applyFill="1" applyBorder="1" applyAlignment="1">
      <alignment horizontal="left" vertical="top" wrapText="1"/>
    </xf>
    <xf numFmtId="9" fontId="13" fillId="0" borderId="4" xfId="1" applyFont="1" applyFill="1" applyBorder="1" applyAlignment="1">
      <alignment horizontal="left" vertical="top" wrapText="1"/>
    </xf>
    <xf numFmtId="0" fontId="4" fillId="0" borderId="12" xfId="5" applyFont="1" applyFill="1" applyBorder="1" applyAlignment="1">
      <alignment horizontal="left" vertical="top" wrapText="1"/>
    </xf>
    <xf numFmtId="0" fontId="4" fillId="0" borderId="1" xfId="5" applyFont="1" applyFill="1" applyBorder="1" applyAlignment="1">
      <alignment horizontal="left" vertical="top" wrapText="1"/>
    </xf>
    <xf numFmtId="9" fontId="4" fillId="0" borderId="1" xfId="2" applyNumberFormat="1" applyFont="1" applyFill="1" applyBorder="1" applyAlignment="1">
      <alignment horizontal="left" vertical="top" wrapText="1"/>
    </xf>
    <xf numFmtId="10" fontId="4" fillId="0" borderId="1" xfId="2" applyNumberFormat="1" applyFont="1" applyFill="1" applyBorder="1" applyAlignment="1">
      <alignment horizontal="left" vertical="top" wrapText="1"/>
    </xf>
    <xf numFmtId="9" fontId="13" fillId="0" borderId="1" xfId="1" applyFont="1" applyFill="1" applyBorder="1" applyAlignment="1">
      <alignment horizontal="left" vertical="top" wrapText="1"/>
    </xf>
    <xf numFmtId="9" fontId="13" fillId="0" borderId="13" xfId="1" applyFont="1" applyFill="1" applyBorder="1" applyAlignment="1">
      <alignment horizontal="left" vertical="top" wrapText="1"/>
    </xf>
    <xf numFmtId="9" fontId="4" fillId="0" borderId="4" xfId="1" quotePrefix="1" applyFont="1" applyFill="1" applyBorder="1" applyAlignment="1">
      <alignment horizontal="left" vertical="top" wrapText="1"/>
    </xf>
    <xf numFmtId="0" fontId="4" fillId="0" borderId="2" xfId="5" applyFont="1" applyFill="1" applyBorder="1" applyAlignment="1">
      <alignment vertical="top"/>
    </xf>
    <xf numFmtId="1" fontId="4" fillId="0" borderId="4" xfId="5" quotePrefix="1" applyNumberFormat="1" applyFont="1" applyFill="1" applyBorder="1" applyAlignment="1">
      <alignment horizontal="left" vertical="top" wrapText="1"/>
    </xf>
    <xf numFmtId="0" fontId="4" fillId="0" borderId="6" xfId="2" applyFont="1" applyFill="1" applyBorder="1" applyAlignment="1">
      <alignment horizontal="left" vertical="top" wrapText="1"/>
    </xf>
    <xf numFmtId="0" fontId="4" fillId="0" borderId="5" xfId="2" applyFont="1" applyFill="1" applyBorder="1" applyAlignment="1">
      <alignment horizontal="left" vertical="top" wrapText="1"/>
    </xf>
    <xf numFmtId="0" fontId="4" fillId="0" borderId="6" xfId="2" quotePrefix="1" applyFont="1" applyFill="1" applyBorder="1" applyAlignment="1">
      <alignment horizontal="left" vertical="top" wrapText="1"/>
    </xf>
    <xf numFmtId="0" fontId="4" fillId="0" borderId="7" xfId="2" quotePrefix="1" applyFont="1" applyFill="1" applyBorder="1" applyAlignment="1">
      <alignment horizontal="left" vertical="top" wrapText="1"/>
    </xf>
    <xf numFmtId="0" fontId="0" fillId="0" borderId="6" xfId="0" applyFill="1" applyBorder="1"/>
    <xf numFmtId="0" fontId="4" fillId="0" borderId="3" xfId="2" applyFont="1" applyFill="1" applyBorder="1" applyAlignment="1">
      <alignment horizontal="left" vertical="top" wrapText="1"/>
    </xf>
    <xf numFmtId="9" fontId="4" fillId="0" borderId="3" xfId="2" applyNumberFormat="1" applyFont="1" applyFill="1" applyBorder="1" applyAlignment="1">
      <alignment horizontal="left" vertical="top" wrapText="1"/>
    </xf>
    <xf numFmtId="0" fontId="4" fillId="0" borderId="8" xfId="5" applyFont="1" applyFill="1" applyBorder="1" applyAlignment="1">
      <alignment vertical="top"/>
    </xf>
    <xf numFmtId="0" fontId="4" fillId="0" borderId="8" xfId="2" applyFont="1" applyFill="1" applyBorder="1" applyAlignment="1">
      <alignment horizontal="left" vertical="top" wrapText="1"/>
    </xf>
    <xf numFmtId="0" fontId="4" fillId="0" borderId="0" xfId="2" applyFont="1" applyFill="1" applyBorder="1" applyAlignment="1">
      <alignment horizontal="left" vertical="top" wrapText="1"/>
    </xf>
    <xf numFmtId="10" fontId="4" fillId="0" borderId="0" xfId="2" applyNumberFormat="1" applyFont="1" applyFill="1" applyBorder="1" applyAlignment="1">
      <alignment horizontal="left" vertical="top" wrapText="1"/>
    </xf>
    <xf numFmtId="0" fontId="4" fillId="0" borderId="9" xfId="5" applyFont="1" applyFill="1" applyBorder="1" applyAlignment="1">
      <alignment horizontal="left" vertical="top" wrapText="1"/>
    </xf>
    <xf numFmtId="165" fontId="4" fillId="0" borderId="0" xfId="2" applyNumberFormat="1" applyFont="1" applyFill="1" applyBorder="1" applyAlignment="1">
      <alignment horizontal="left" vertical="top" wrapText="1"/>
    </xf>
    <xf numFmtId="9" fontId="4" fillId="0" borderId="9" xfId="1" applyNumberFormat="1" applyFont="1" applyFill="1" applyBorder="1" applyAlignment="1">
      <alignment horizontal="left" vertical="top" wrapText="1"/>
    </xf>
    <xf numFmtId="9" fontId="13" fillId="0" borderId="7" xfId="1" applyNumberFormat="1" applyFont="1" applyFill="1" applyBorder="1" applyAlignment="1">
      <alignment horizontal="left" vertical="top" wrapText="1"/>
    </xf>
    <xf numFmtId="0" fontId="4" fillId="0" borderId="12" xfId="5" applyFont="1" applyFill="1" applyBorder="1" applyAlignment="1">
      <alignment vertical="top"/>
    </xf>
    <xf numFmtId="0" fontId="3" fillId="0" borderId="12" xfId="5" applyFont="1" applyFill="1" applyBorder="1" applyAlignment="1">
      <alignment horizontal="left" vertical="top" wrapText="1"/>
    </xf>
    <xf numFmtId="0" fontId="4" fillId="0" borderId="12" xfId="2" applyFont="1" applyFill="1" applyBorder="1" applyAlignment="1">
      <alignment horizontal="left" vertical="top" wrapText="1"/>
    </xf>
    <xf numFmtId="0" fontId="4" fillId="0" borderId="1" xfId="2" applyFont="1" applyFill="1" applyBorder="1" applyAlignment="1">
      <alignment horizontal="left" vertical="top" wrapText="1"/>
    </xf>
    <xf numFmtId="9" fontId="13" fillId="0" borderId="1" xfId="1" applyNumberFormat="1" applyFont="1" applyFill="1" applyBorder="1" applyAlignment="1">
      <alignment horizontal="left" vertical="top" wrapText="1"/>
    </xf>
    <xf numFmtId="9" fontId="13" fillId="0" borderId="13" xfId="1" applyNumberFormat="1" applyFont="1" applyFill="1" applyBorder="1" applyAlignment="1">
      <alignment horizontal="left" vertical="top" wrapText="1"/>
    </xf>
    <xf numFmtId="9" fontId="4" fillId="0" borderId="10" xfId="1" applyFont="1" applyFill="1" applyBorder="1" applyAlignment="1">
      <alignment horizontal="left" vertical="top" wrapText="1"/>
    </xf>
    <xf numFmtId="9" fontId="4" fillId="0" borderId="2" xfId="2" applyNumberFormat="1" applyFont="1" applyFill="1" applyBorder="1" applyAlignment="1">
      <alignment horizontal="left" vertical="top" wrapText="1"/>
    </xf>
    <xf numFmtId="9" fontId="4" fillId="0" borderId="4" xfId="2" applyNumberFormat="1" applyFont="1" applyFill="1" applyBorder="1" applyAlignment="1">
      <alignment horizontal="left" vertical="top" wrapText="1"/>
    </xf>
    <xf numFmtId="0" fontId="4" fillId="0" borderId="14" xfId="5" applyFont="1" applyFill="1" applyBorder="1" applyAlignment="1">
      <alignment horizontal="left" vertical="top" wrapText="1"/>
    </xf>
    <xf numFmtId="9" fontId="13" fillId="0" borderId="12" xfId="1" applyNumberFormat="1" applyFont="1" applyFill="1" applyBorder="1" applyAlignment="1">
      <alignment horizontal="left" vertical="top" wrapText="1"/>
    </xf>
    <xf numFmtId="0" fontId="4" fillId="0" borderId="5" xfId="2" applyFont="1" applyFill="1" applyBorder="1" applyAlignment="1">
      <alignment vertical="top"/>
    </xf>
    <xf numFmtId="9" fontId="4" fillId="0" borderId="6" xfId="2" quotePrefix="1" applyNumberFormat="1" applyFont="1" applyFill="1" applyBorder="1" applyAlignment="1">
      <alignment horizontal="left" vertical="top" wrapText="1"/>
    </xf>
    <xf numFmtId="9" fontId="4" fillId="0" borderId="7" xfId="2" quotePrefix="1" applyNumberFormat="1" applyFont="1" applyFill="1" applyBorder="1" applyAlignment="1">
      <alignment horizontal="left" vertical="top" wrapText="1"/>
    </xf>
    <xf numFmtId="0" fontId="4" fillId="0" borderId="8" xfId="2" applyFont="1" applyFill="1" applyBorder="1" applyAlignment="1">
      <alignment horizontal="left" vertical="top"/>
    </xf>
    <xf numFmtId="0" fontId="4" fillId="0" borderId="4" xfId="2" applyFont="1" applyFill="1" applyBorder="1" applyAlignment="1">
      <alignment horizontal="left" vertical="top" wrapText="1"/>
    </xf>
    <xf numFmtId="9" fontId="4" fillId="0" borderId="4" xfId="1" applyNumberFormat="1" applyFont="1" applyFill="1" applyBorder="1" applyAlignment="1">
      <alignment horizontal="left" vertical="top" wrapText="1"/>
    </xf>
    <xf numFmtId="9" fontId="4" fillId="0" borderId="13" xfId="1" quotePrefix="1" applyFont="1" applyFill="1" applyBorder="1" applyAlignment="1">
      <alignment horizontal="left" vertical="top" wrapText="1"/>
    </xf>
    <xf numFmtId="1" fontId="4" fillId="0" borderId="0" xfId="5" applyNumberFormat="1" applyFont="1" applyFill="1" applyBorder="1" applyAlignment="1">
      <alignment horizontal="left" vertical="top" wrapText="1"/>
    </xf>
    <xf numFmtId="165" fontId="4" fillId="0" borderId="0" xfId="1" applyNumberFormat="1" applyFont="1" applyFill="1" applyBorder="1" applyAlignment="1">
      <alignment horizontal="left" vertical="top" wrapText="1"/>
    </xf>
    <xf numFmtId="9" fontId="4" fillId="0" borderId="0" xfId="5" applyNumberFormat="1" applyFont="1" applyFill="1" applyBorder="1" applyAlignment="1">
      <alignment horizontal="left" vertical="top" wrapText="1"/>
    </xf>
    <xf numFmtId="9" fontId="4" fillId="0" borderId="1" xfId="1" applyNumberFormat="1" applyFont="1" applyFill="1" applyBorder="1" applyAlignment="1">
      <alignment horizontal="left" vertical="top" wrapText="1"/>
    </xf>
    <xf numFmtId="9" fontId="4" fillId="0" borderId="13" xfId="1" applyNumberFormat="1" applyFont="1" applyFill="1" applyBorder="1" applyAlignment="1">
      <alignment horizontal="left" vertical="top" wrapText="1"/>
    </xf>
    <xf numFmtId="0" fontId="4" fillId="0" borderId="6" xfId="5" quotePrefix="1" applyFont="1" applyFill="1" applyBorder="1" applyAlignment="1">
      <alignment horizontal="left" vertical="top" wrapText="1"/>
    </xf>
    <xf numFmtId="9" fontId="4" fillId="0" borderId="1" xfId="5" applyNumberFormat="1" applyFont="1" applyFill="1" applyBorder="1" applyAlignment="1">
      <alignment horizontal="left" vertical="top" wrapText="1"/>
    </xf>
    <xf numFmtId="0" fontId="3" fillId="0" borderId="8" xfId="2" applyFont="1" applyFill="1" applyBorder="1" applyAlignment="1">
      <alignment horizontal="left" vertical="top" wrapText="1"/>
    </xf>
    <xf numFmtId="9" fontId="4" fillId="0" borderId="0" xfId="2" quotePrefix="1" applyNumberFormat="1" applyFont="1" applyFill="1" applyBorder="1" applyAlignment="1">
      <alignment horizontal="left" vertical="top" wrapText="1"/>
    </xf>
    <xf numFmtId="0" fontId="4" fillId="0" borderId="3" xfId="2" quotePrefix="1" applyFont="1" applyFill="1" applyBorder="1" applyAlignment="1">
      <alignment horizontal="left" vertical="top" wrapText="1"/>
    </xf>
    <xf numFmtId="0" fontId="4" fillId="0" borderId="12" xfId="2" applyFont="1" applyFill="1" applyBorder="1" applyAlignment="1">
      <alignment vertical="top"/>
    </xf>
    <xf numFmtId="0" fontId="4" fillId="0" borderId="4" xfId="2" quotePrefix="1" applyFont="1" applyFill="1" applyBorder="1" applyAlignment="1">
      <alignment horizontal="left" vertical="top" wrapText="1"/>
    </xf>
    <xf numFmtId="0" fontId="4" fillId="0" borderId="12" xfId="5" applyFont="1" applyFill="1" applyBorder="1" applyAlignment="1">
      <alignment horizontal="left" vertical="top"/>
    </xf>
    <xf numFmtId="0" fontId="4" fillId="0" borderId="1" xfId="2" quotePrefix="1" applyFont="1" applyFill="1" applyBorder="1" applyAlignment="1">
      <alignment horizontal="left" vertical="top" wrapText="1"/>
    </xf>
    <xf numFmtId="0" fontId="4" fillId="0" borderId="13" xfId="2" quotePrefix="1" applyFont="1" applyFill="1" applyBorder="1" applyAlignment="1">
      <alignment horizontal="left" vertical="top" wrapText="1"/>
    </xf>
    <xf numFmtId="0" fontId="4" fillId="0" borderId="0" xfId="2" quotePrefix="1" applyFont="1" applyFill="1" applyBorder="1" applyAlignment="1">
      <alignment horizontal="left" vertical="top" wrapText="1"/>
    </xf>
    <xf numFmtId="0" fontId="4" fillId="0" borderId="9" xfId="2" quotePrefix="1" applyFont="1" applyFill="1" applyBorder="1" applyAlignment="1">
      <alignment horizontal="left" vertical="top" wrapText="1"/>
    </xf>
    <xf numFmtId="0" fontId="4" fillId="0" borderId="11" xfId="5" applyFont="1" applyFill="1" applyBorder="1" applyAlignment="1">
      <alignment horizontal="left" vertical="top" wrapText="1"/>
    </xf>
    <xf numFmtId="10" fontId="4" fillId="0" borderId="12" xfId="0" applyNumberFormat="1" applyFont="1" applyFill="1" applyBorder="1" applyAlignment="1">
      <alignment horizontal="center" vertical="center" wrapText="1"/>
    </xf>
    <xf numFmtId="10" fontId="4" fillId="0" borderId="1" xfId="0" applyNumberFormat="1" applyFont="1" applyFill="1" applyBorder="1" applyAlignment="1">
      <alignment horizontal="center" vertical="center" wrapText="1"/>
    </xf>
    <xf numFmtId="10" fontId="4" fillId="0" borderId="13" xfId="0" applyNumberFormat="1" applyFont="1" applyFill="1" applyBorder="1" applyAlignment="1">
      <alignment horizontal="center" vertical="center" wrapText="1"/>
    </xf>
    <xf numFmtId="0" fontId="4" fillId="0" borderId="7" xfId="0" applyFont="1" applyFill="1" applyBorder="1" applyAlignment="1">
      <alignment vertical="top"/>
    </xf>
    <xf numFmtId="0" fontId="4" fillId="0" borderId="6" xfId="0" applyFont="1" applyFill="1" applyBorder="1" applyAlignment="1">
      <alignment vertical="top" wrapText="1"/>
    </xf>
    <xf numFmtId="0" fontId="4" fillId="0" borderId="6" xfId="0" applyFont="1" applyFill="1" applyBorder="1"/>
    <xf numFmtId="0" fontId="4" fillId="0" borderId="7" xfId="0" applyFont="1" applyFill="1" applyBorder="1"/>
    <xf numFmtId="0" fontId="13" fillId="0" borderId="2" xfId="0" applyFont="1" applyFill="1" applyBorder="1"/>
    <xf numFmtId="0" fontId="6" fillId="0" borderId="0" xfId="0" applyFont="1" applyFill="1" applyAlignment="1">
      <alignment horizontal="center"/>
    </xf>
    <xf numFmtId="0" fontId="7" fillId="0" borderId="0" xfId="0" applyFont="1" applyFill="1" applyAlignment="1">
      <alignment horizontal="center"/>
    </xf>
    <xf numFmtId="0" fontId="8" fillId="0" borderId="0" xfId="4" applyFont="1" applyFill="1" applyAlignment="1">
      <alignment horizontal="center"/>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9" fontId="4" fillId="0" borderId="12" xfId="1" applyFont="1" applyFill="1" applyBorder="1" applyAlignment="1">
      <alignment horizontal="center" vertical="top" wrapText="1"/>
    </xf>
    <xf numFmtId="9" fontId="4" fillId="0" borderId="13" xfId="1" applyFont="1" applyFill="1" applyBorder="1" applyAlignment="1">
      <alignment horizontal="center" vertical="top" wrapText="1"/>
    </xf>
    <xf numFmtId="9" fontId="4" fillId="0" borderId="5" xfId="2" applyNumberFormat="1" applyFont="1" applyFill="1" applyBorder="1" applyAlignment="1">
      <alignment horizontal="center" vertical="top" wrapText="1"/>
    </xf>
    <xf numFmtId="9" fontId="4" fillId="0" borderId="7" xfId="2" applyNumberFormat="1" applyFont="1" applyFill="1" applyBorder="1" applyAlignment="1">
      <alignment horizontal="center" vertical="top" wrapText="1"/>
    </xf>
    <xf numFmtId="9" fontId="4" fillId="0" borderId="12" xfId="2" applyNumberFormat="1" applyFont="1" applyFill="1" applyBorder="1" applyAlignment="1">
      <alignment horizontal="left" vertical="top" wrapText="1"/>
    </xf>
    <xf numFmtId="9" fontId="4" fillId="0" borderId="13" xfId="2" applyNumberFormat="1" applyFont="1" applyFill="1" applyBorder="1" applyAlignment="1">
      <alignment horizontal="left" vertical="top" wrapText="1"/>
    </xf>
    <xf numFmtId="9" fontId="4" fillId="0" borderId="5" xfId="2" applyNumberFormat="1" applyFont="1" applyFill="1" applyBorder="1" applyAlignment="1">
      <alignment horizontal="left" vertical="top" wrapText="1"/>
    </xf>
    <xf numFmtId="9" fontId="4" fillId="0" borderId="7" xfId="2" applyNumberFormat="1" applyFont="1" applyFill="1" applyBorder="1" applyAlignment="1">
      <alignment horizontal="left" vertical="top" wrapText="1"/>
    </xf>
    <xf numFmtId="9" fontId="4" fillId="0" borderId="5" xfId="1" applyFont="1" applyFill="1" applyBorder="1" applyAlignment="1">
      <alignment horizontal="center" vertical="top" wrapText="1"/>
    </xf>
    <xf numFmtId="9" fontId="4" fillId="0" borderId="6" xfId="1" applyFont="1" applyFill="1" applyBorder="1" applyAlignment="1">
      <alignment horizontal="center" vertical="top" wrapText="1"/>
    </xf>
    <xf numFmtId="9" fontId="4" fillId="0" borderId="2" xfId="1" applyFont="1" applyFill="1" applyBorder="1" applyAlignment="1">
      <alignment horizontal="center" vertical="top" wrapText="1"/>
    </xf>
    <xf numFmtId="9" fontId="4" fillId="0" borderId="3" xfId="1" applyFont="1" applyFill="1" applyBorder="1" applyAlignment="1">
      <alignment horizontal="center" vertical="top" wrapText="1"/>
    </xf>
    <xf numFmtId="9" fontId="4" fillId="0" borderId="8" xfId="1" applyFont="1" applyFill="1" applyBorder="1" applyAlignment="1">
      <alignment horizontal="center" vertical="top"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20" fillId="0" borderId="0" xfId="0" applyFont="1" applyFill="1" applyAlignment="1">
      <alignment horizontal="center"/>
    </xf>
    <xf numFmtId="0" fontId="4" fillId="0" borderId="12" xfId="5" applyFont="1" applyFill="1" applyBorder="1" applyAlignment="1">
      <alignment horizontal="center" vertical="center"/>
    </xf>
    <xf numFmtId="0" fontId="4" fillId="0" borderId="13" xfId="5" applyFont="1" applyFill="1" applyBorder="1" applyAlignment="1">
      <alignment horizontal="center" vertical="center"/>
    </xf>
    <xf numFmtId="0" fontId="6" fillId="0" borderId="0" xfId="5" applyFont="1" applyFill="1" applyAlignment="1">
      <alignment horizontal="center" vertical="center"/>
    </xf>
    <xf numFmtId="0" fontId="4" fillId="0" borderId="4" xfId="5" applyFont="1" applyFill="1" applyBorder="1" applyAlignment="1">
      <alignment horizontal="center" vertical="center"/>
    </xf>
    <xf numFmtId="0" fontId="4" fillId="0" borderId="8" xfId="5" applyFont="1" applyFill="1" applyBorder="1" applyAlignment="1">
      <alignment horizontal="center" vertical="center" wrapText="1"/>
    </xf>
    <xf numFmtId="0" fontId="4" fillId="0" borderId="0" xfId="0" applyFont="1" applyFill="1" applyAlignment="1">
      <alignment horizontal="left" vertical="center" wrapText="1"/>
    </xf>
    <xf numFmtId="0" fontId="13" fillId="0" borderId="4" xfId="0" applyFont="1" applyFill="1" applyBorder="1" applyAlignment="1">
      <alignment horizontal="center" vertical="center" wrapText="1"/>
    </xf>
    <xf numFmtId="0" fontId="4" fillId="0" borderId="0" xfId="0" applyFont="1" applyFill="1" applyAlignment="1">
      <alignment vertical="top"/>
    </xf>
    <xf numFmtId="0" fontId="4" fillId="0" borderId="0" xfId="0" applyFont="1" applyFill="1" applyAlignment="1">
      <alignment vertical="top" wrapText="1"/>
    </xf>
    <xf numFmtId="0" fontId="4" fillId="0" borderId="0" xfId="0" applyFont="1" applyFill="1"/>
    <xf numFmtId="0" fontId="4" fillId="0" borderId="0" xfId="0" applyFont="1" applyFill="1" applyBorder="1" applyAlignment="1">
      <alignment vertical="top" wrapText="1"/>
    </xf>
    <xf numFmtId="0" fontId="10" fillId="0" borderId="7" xfId="5" applyFont="1" applyFill="1" applyBorder="1" applyAlignment="1">
      <alignment horizontal="left" vertical="center"/>
    </xf>
    <xf numFmtId="0" fontId="4" fillId="0" borderId="4" xfId="0" applyFont="1" applyFill="1" applyBorder="1" applyAlignment="1">
      <alignment vertical="center"/>
    </xf>
    <xf numFmtId="0" fontId="4" fillId="0" borderId="9" xfId="0" applyFont="1" applyFill="1" applyBorder="1" applyAlignment="1">
      <alignment vertical="center"/>
    </xf>
    <xf numFmtId="0" fontId="13" fillId="0" borderId="9" xfId="0" applyFont="1" applyFill="1" applyBorder="1" applyAlignment="1">
      <alignment vertical="center"/>
    </xf>
    <xf numFmtId="0" fontId="10" fillId="0" borderId="15" xfId="0" applyFont="1" applyFill="1" applyBorder="1" applyAlignment="1">
      <alignment vertical="center"/>
    </xf>
    <xf numFmtId="0" fontId="0" fillId="0" borderId="4" xfId="0" applyFill="1" applyBorder="1"/>
    <xf numFmtId="0" fontId="10" fillId="0" borderId="9" xfId="5" applyFont="1" applyFill="1" applyBorder="1" applyAlignment="1">
      <alignment horizontal="left" vertical="center"/>
    </xf>
    <xf numFmtId="0" fontId="0" fillId="0" borderId="9" xfId="0" applyFill="1" applyBorder="1"/>
    <xf numFmtId="1" fontId="3" fillId="0" borderId="10" xfId="1" applyNumberFormat="1" applyFont="1" applyFill="1" applyBorder="1" applyAlignment="1">
      <alignment vertical="top" wrapText="1"/>
    </xf>
    <xf numFmtId="1" fontId="3" fillId="0" borderId="11" xfId="1" applyNumberFormat="1" applyFont="1" applyFill="1" applyBorder="1" applyAlignment="1">
      <alignment vertical="top" wrapText="1"/>
    </xf>
    <xf numFmtId="1" fontId="3" fillId="0" borderId="14" xfId="1" applyNumberFormat="1" applyFont="1" applyFill="1" applyBorder="1" applyAlignment="1">
      <alignment vertical="top" wrapText="1"/>
    </xf>
    <xf numFmtId="165" fontId="4" fillId="0" borderId="4" xfId="1" applyNumberFormat="1" applyFont="1" applyFill="1" applyBorder="1" applyAlignment="1">
      <alignment horizontal="center" vertical="top" wrapText="1"/>
    </xf>
    <xf numFmtId="165" fontId="4" fillId="0" borderId="9" xfId="1" applyNumberFormat="1" applyFont="1" applyFill="1" applyBorder="1" applyAlignment="1">
      <alignment horizontal="center" vertical="top" wrapText="1"/>
    </xf>
    <xf numFmtId="0" fontId="3" fillId="0" borderId="5" xfId="5" applyFont="1" applyFill="1" applyBorder="1" applyAlignment="1">
      <alignment horizontal="left" vertical="top" wrapText="1"/>
    </xf>
    <xf numFmtId="0" fontId="3" fillId="0" borderId="8" xfId="5" applyFont="1" applyFill="1" applyBorder="1" applyAlignment="1">
      <alignment horizontal="left" vertical="top" wrapText="1"/>
    </xf>
    <xf numFmtId="165" fontId="4" fillId="0" borderId="6" xfId="5" applyNumberFormat="1" applyFont="1" applyFill="1" applyBorder="1" applyAlignment="1">
      <alignment horizontal="left" vertical="top" wrapText="1"/>
    </xf>
    <xf numFmtId="0" fontId="4" fillId="0" borderId="9" xfId="5" applyFont="1" applyFill="1" applyBorder="1" applyAlignment="1">
      <alignment horizontal="left" vertical="top"/>
    </xf>
    <xf numFmtId="9" fontId="4" fillId="0" borderId="0" xfId="1" quotePrefix="1" applyFont="1" applyFill="1" applyBorder="1" applyAlignment="1">
      <alignment horizontal="left" vertical="top" wrapText="1"/>
    </xf>
    <xf numFmtId="1" fontId="4" fillId="0" borderId="0" xfId="5" quotePrefix="1" applyNumberFormat="1" applyFont="1" applyFill="1" applyBorder="1" applyAlignment="1">
      <alignment horizontal="left" vertical="top" wrapText="1"/>
    </xf>
    <xf numFmtId="10" fontId="4" fillId="0" borderId="0" xfId="5" applyNumberFormat="1"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left" vertical="top"/>
    </xf>
    <xf numFmtId="0" fontId="6" fillId="0" borderId="0" xfId="0" applyFont="1" applyFill="1" applyAlignment="1">
      <alignment horizontal="center"/>
    </xf>
    <xf numFmtId="0" fontId="7" fillId="0" borderId="0" xfId="0" applyFont="1" applyFill="1" applyAlignment="1">
      <alignment horizontal="center"/>
    </xf>
    <xf numFmtId="0" fontId="8" fillId="0" borderId="0" xfId="4" applyFont="1" applyFill="1" applyAlignment="1">
      <alignment horizontal="center"/>
    </xf>
    <xf numFmtId="0" fontId="8" fillId="0" borderId="2"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9" fontId="4" fillId="0" borderId="12" xfId="1" applyFont="1" applyFill="1" applyBorder="1" applyAlignment="1">
      <alignment horizontal="center" vertical="top" wrapText="1"/>
    </xf>
    <xf numFmtId="9" fontId="4" fillId="0" borderId="13" xfId="1" applyFont="1" applyFill="1" applyBorder="1" applyAlignment="1">
      <alignment horizontal="center" vertical="top" wrapText="1"/>
    </xf>
    <xf numFmtId="9" fontId="4" fillId="0" borderId="5" xfId="2" applyNumberFormat="1" applyFont="1" applyFill="1" applyBorder="1" applyAlignment="1">
      <alignment horizontal="center" vertical="top" wrapText="1"/>
    </xf>
    <xf numFmtId="9" fontId="4" fillId="0" borderId="7" xfId="2" applyNumberFormat="1" applyFont="1" applyFill="1" applyBorder="1" applyAlignment="1">
      <alignment horizontal="center" vertical="top" wrapText="1"/>
    </xf>
    <xf numFmtId="9" fontId="4" fillId="0" borderId="12" xfId="2" applyNumberFormat="1" applyFont="1" applyFill="1" applyBorder="1" applyAlignment="1">
      <alignment horizontal="left" vertical="top" wrapText="1"/>
    </xf>
    <xf numFmtId="9" fontId="4" fillId="0" borderId="13" xfId="2" applyNumberFormat="1" applyFont="1" applyFill="1" applyBorder="1" applyAlignment="1">
      <alignment horizontal="left" vertical="top" wrapText="1"/>
    </xf>
    <xf numFmtId="9" fontId="4" fillId="0" borderId="5" xfId="2" applyNumberFormat="1" applyFont="1" applyFill="1" applyBorder="1" applyAlignment="1">
      <alignment horizontal="left" vertical="top" wrapText="1"/>
    </xf>
    <xf numFmtId="9" fontId="4" fillId="0" borderId="7" xfId="2" applyNumberFormat="1" applyFont="1" applyFill="1" applyBorder="1" applyAlignment="1">
      <alignment horizontal="left" vertical="top" wrapText="1"/>
    </xf>
    <xf numFmtId="9" fontId="4" fillId="0" borderId="5" xfId="1" applyFont="1" applyFill="1" applyBorder="1" applyAlignment="1">
      <alignment horizontal="center" vertical="top" wrapText="1"/>
    </xf>
    <xf numFmtId="9" fontId="4" fillId="0" borderId="7" xfId="1" applyFont="1" applyFill="1" applyBorder="1" applyAlignment="1">
      <alignment horizontal="center" vertical="top" wrapText="1"/>
    </xf>
    <xf numFmtId="9" fontId="4" fillId="0" borderId="6" xfId="1" applyFont="1" applyFill="1" applyBorder="1" applyAlignment="1">
      <alignment horizontal="center" vertical="top" wrapText="1"/>
    </xf>
    <xf numFmtId="9" fontId="4" fillId="0" borderId="2" xfId="1" applyFont="1" applyFill="1" applyBorder="1" applyAlignment="1">
      <alignment horizontal="center" vertical="top" wrapText="1"/>
    </xf>
    <xf numFmtId="9" fontId="4" fillId="0" borderId="3" xfId="1" applyFont="1" applyFill="1" applyBorder="1" applyAlignment="1">
      <alignment horizontal="center" vertical="top" wrapText="1"/>
    </xf>
    <xf numFmtId="9" fontId="4" fillId="0" borderId="8" xfId="1" applyFont="1" applyFill="1" applyBorder="1" applyAlignment="1">
      <alignment horizontal="center" vertical="top" wrapText="1"/>
    </xf>
    <xf numFmtId="9" fontId="4" fillId="0" borderId="0" xfId="1" applyFont="1" applyFill="1" applyBorder="1" applyAlignment="1">
      <alignment horizontal="center" vertical="top" wrapText="1"/>
    </xf>
    <xf numFmtId="0" fontId="4" fillId="0" borderId="0" xfId="0" applyFont="1" applyFill="1" applyAlignment="1">
      <alignment horizontal="left" vertical="top" wrapText="1"/>
    </xf>
    <xf numFmtId="0" fontId="6" fillId="0" borderId="0" xfId="0" applyFont="1" applyFill="1" applyAlignment="1">
      <alignment horizontal="center" vertical="center"/>
    </xf>
    <xf numFmtId="0" fontId="4" fillId="0" borderId="10"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8" fillId="0" borderId="1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20" fillId="0" borderId="0" xfId="0" applyFont="1" applyFill="1" applyAlignment="1">
      <alignment horizontal="center"/>
    </xf>
    <xf numFmtId="0" fontId="4" fillId="0" borderId="12" xfId="5" applyFont="1" applyFill="1" applyBorder="1" applyAlignment="1">
      <alignment horizontal="center" vertical="center"/>
    </xf>
    <xf numFmtId="0" fontId="4" fillId="0" borderId="1" xfId="5" applyFont="1" applyFill="1" applyBorder="1" applyAlignment="1">
      <alignment horizontal="center" vertical="center"/>
    </xf>
    <xf numFmtId="0" fontId="4" fillId="0" borderId="13" xfId="5" applyFont="1" applyFill="1" applyBorder="1" applyAlignment="1">
      <alignment horizontal="center" vertical="center"/>
    </xf>
    <xf numFmtId="0" fontId="6" fillId="0" borderId="0" xfId="5" applyFont="1" applyFill="1" applyAlignment="1">
      <alignment horizontal="center"/>
    </xf>
    <xf numFmtId="0" fontId="6" fillId="0" borderId="0" xfId="5" applyFont="1" applyFill="1" applyAlignment="1">
      <alignment horizontal="center" vertical="center"/>
    </xf>
    <xf numFmtId="0" fontId="4" fillId="0" borderId="2" xfId="5" applyFont="1" applyFill="1" applyBorder="1" applyAlignment="1">
      <alignment horizontal="center" vertical="center"/>
    </xf>
    <xf numFmtId="0" fontId="4" fillId="0" borderId="3" xfId="5" applyFont="1" applyFill="1" applyBorder="1" applyAlignment="1">
      <alignment horizontal="center" vertical="center"/>
    </xf>
    <xf numFmtId="0" fontId="4" fillId="0" borderId="4" xfId="5" applyFont="1" applyFill="1" applyBorder="1" applyAlignment="1">
      <alignment horizontal="center" vertical="center"/>
    </xf>
    <xf numFmtId="0" fontId="4" fillId="0" borderId="10" xfId="5" applyFont="1" applyFill="1" applyBorder="1" applyAlignment="1">
      <alignment horizontal="center" vertical="center" wrapText="1"/>
    </xf>
    <xf numFmtId="0" fontId="4" fillId="0" borderId="11" xfId="5" applyFont="1" applyFill="1" applyBorder="1" applyAlignment="1">
      <alignment horizontal="center" vertical="center" wrapText="1"/>
    </xf>
    <xf numFmtId="0" fontId="4" fillId="0" borderId="6" xfId="5" applyFont="1" applyFill="1" applyBorder="1" applyAlignment="1">
      <alignment horizontal="center" vertical="center"/>
    </xf>
    <xf numFmtId="0" fontId="4" fillId="0" borderId="7" xfId="5" applyFont="1" applyFill="1" applyBorder="1" applyAlignment="1">
      <alignment horizontal="center" vertical="center"/>
    </xf>
    <xf numFmtId="0" fontId="4" fillId="0" borderId="2" xfId="5" applyFont="1" applyFill="1" applyBorder="1" applyAlignment="1">
      <alignment horizontal="center" vertical="center" wrapText="1"/>
    </xf>
    <xf numFmtId="0" fontId="4" fillId="0" borderId="8" xfId="5" applyFont="1" applyFill="1" applyBorder="1" applyAlignment="1">
      <alignment horizontal="center" vertical="center" wrapText="1"/>
    </xf>
    <xf numFmtId="0" fontId="4" fillId="0" borderId="0" xfId="0" applyFont="1" applyFill="1" applyAlignment="1">
      <alignment horizontal="left" vertical="center" wrapText="1"/>
    </xf>
    <xf numFmtId="0" fontId="6" fillId="0" borderId="0" xfId="0" applyFont="1" applyFill="1" applyBorder="1" applyAlignment="1">
      <alignment horizontal="center"/>
    </xf>
    <xf numFmtId="0" fontId="7" fillId="0" borderId="0" xfId="0" applyFont="1" applyFill="1" applyBorder="1" applyAlignment="1">
      <alignment horizontal="center"/>
    </xf>
    <xf numFmtId="0" fontId="4" fillId="0" borderId="10" xfId="0" applyFont="1" applyFill="1" applyBorder="1" applyAlignment="1">
      <alignment vertical="center" wrapText="1"/>
    </xf>
    <xf numFmtId="0" fontId="4" fillId="0" borderId="11" xfId="0" applyFont="1" applyFill="1" applyBorder="1" applyAlignment="1">
      <alignment vertical="center" wrapText="1"/>
    </xf>
    <xf numFmtId="0" fontId="13" fillId="0" borderId="2"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4" fillId="0" borderId="3" xfId="5"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5" xfId="0" applyFont="1" applyFill="1" applyBorder="1" applyAlignment="1">
      <alignment horizontal="center" vertical="center"/>
    </xf>
    <xf numFmtId="0" fontId="13" fillId="0" borderId="6" xfId="0" applyFont="1" applyFill="1" applyBorder="1" applyAlignment="1">
      <alignment horizontal="center" vertical="center"/>
    </xf>
    <xf numFmtId="0" fontId="13" fillId="0" borderId="7" xfId="0" applyFont="1" applyFill="1" applyBorder="1" applyAlignment="1">
      <alignment horizontal="center" vertical="center"/>
    </xf>
    <xf numFmtId="0" fontId="4" fillId="0" borderId="0" xfId="0" applyFont="1" applyFill="1" applyAlignment="1">
      <alignment vertical="top"/>
    </xf>
    <xf numFmtId="0" fontId="4" fillId="0" borderId="0" xfId="0" applyFont="1" applyFill="1" applyAlignment="1">
      <alignment vertical="top" wrapText="1"/>
    </xf>
    <xf numFmtId="0" fontId="4" fillId="0" borderId="0" xfId="0" applyFont="1" applyFill="1" applyBorder="1" applyAlignment="1">
      <alignment horizontal="left" vertical="top" wrapText="1"/>
    </xf>
    <xf numFmtId="0" fontId="4" fillId="0" borderId="0" xfId="0" applyFont="1" applyFill="1"/>
    <xf numFmtId="0" fontId="4" fillId="0" borderId="0" xfId="0" applyFont="1" applyFill="1" applyBorder="1" applyAlignment="1">
      <alignment vertical="top" wrapText="1"/>
    </xf>
    <xf numFmtId="0" fontId="6" fillId="3" borderId="0" xfId="0" applyFont="1" applyFill="1" applyBorder="1" applyAlignment="1">
      <alignment horizontal="center"/>
    </xf>
    <xf numFmtId="0" fontId="6" fillId="3" borderId="9" xfId="0" applyFont="1" applyFill="1" applyBorder="1" applyAlignment="1">
      <alignment horizontal="center"/>
    </xf>
    <xf numFmtId="0" fontId="6" fillId="3" borderId="1" xfId="0" applyFont="1" applyFill="1" applyBorder="1" applyAlignment="1">
      <alignment horizontal="center"/>
    </xf>
    <xf numFmtId="0" fontId="6" fillId="3" borderId="13" xfId="0" applyFont="1" applyFill="1" applyBorder="1" applyAlignment="1">
      <alignment horizontal="center"/>
    </xf>
    <xf numFmtId="1" fontId="3" fillId="0" borderId="10" xfId="1" applyNumberFormat="1" applyFont="1" applyFill="1" applyBorder="1" applyAlignment="1">
      <alignment horizontal="left" vertical="top" wrapText="1"/>
    </xf>
    <xf numFmtId="1" fontId="3" fillId="0" borderId="14" xfId="1" applyNumberFormat="1" applyFont="1" applyFill="1" applyBorder="1" applyAlignment="1">
      <alignment horizontal="left" vertical="top" wrapText="1"/>
    </xf>
    <xf numFmtId="10" fontId="3" fillId="0" borderId="8" xfId="0" applyNumberFormat="1" applyFont="1" applyFill="1" applyBorder="1" applyAlignment="1">
      <alignment horizontal="left" vertical="center"/>
    </xf>
  </cellXfs>
  <cellStyles count="6">
    <cellStyle name="Good" xfId="2" builtinId="26"/>
    <cellStyle name="Hyperlink" xfId="3" builtinId="8"/>
    <cellStyle name="Normal" xfId="0" builtinId="0"/>
    <cellStyle name="Normal 2" xfId="4"/>
    <cellStyle name="Normal 4" xfId="5"/>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AXBEN/BACKUP/Projects/Policy-tables/test/Daniele/Policy-tables-2020-DP_EM%20-%20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Unemployment Insurance"/>
      <sheetName val="Unemployment Assistance"/>
      <sheetName val="Social Assistance"/>
      <sheetName val="Housing Benefits"/>
      <sheetName val="Family provisions"/>
      <sheetName val="Employment-related provisions"/>
      <sheetName val="Tax treatment of benefits"/>
      <sheetName val="Average wages"/>
      <sheetName val="Sheet2"/>
    </sheetNames>
    <sheetDataSet>
      <sheetData sheetId="0"/>
      <sheetData sheetId="1"/>
      <sheetData sheetId="2"/>
      <sheetData sheetId="3"/>
      <sheetData sheetId="4"/>
      <sheetData sheetId="5"/>
      <sheetData sheetId="6"/>
      <sheetData sheetId="7"/>
      <sheetData sheetId="8">
        <row r="9">
          <cell r="B9">
            <v>418863.26</v>
          </cell>
        </row>
        <row r="20">
          <cell r="B20">
            <v>31316.761999999999</v>
          </cell>
        </row>
        <row r="21">
          <cell r="B21">
            <v>5114039.0999999996</v>
          </cell>
        </row>
        <row r="35">
          <cell r="B35">
            <v>65097.396999999997</v>
          </cell>
        </row>
        <row r="43">
          <cell r="B43">
            <v>25902</v>
          </cell>
        </row>
        <row r="44">
          <cell r="B44">
            <v>65148</v>
          </cell>
        </row>
      </sheetData>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www.oecd.org/els/soc/benefits-and-wages.htm"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oecd.org/els/soc/benefits-and-wages.ht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oecd.org/els/soc/benefits-and-wages.htm"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oecd.org/els/soc/benefits-and-wages.htm"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oecd.org/els/soc/benefits-and-wages.htm"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oecd.org/els/soc/benefits-and-wages.htm"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oecd.org/els/soc/benefits-and-wages.htm"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oecd.org/els/soc/benefits-and-wages.ht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2D050"/>
  </sheetPr>
  <dimension ref="A1:Z11"/>
  <sheetViews>
    <sheetView tabSelected="1" workbookViewId="0"/>
  </sheetViews>
  <sheetFormatPr defaultRowHeight="12.5" x14ac:dyDescent="0.25"/>
  <cols>
    <col min="1" max="1" width="6.90625" customWidth="1"/>
    <col min="2" max="2" width="10.54296875" customWidth="1"/>
  </cols>
  <sheetData>
    <row r="1" spans="1:26" ht="13.25" x14ac:dyDescent="0.25">
      <c r="A1" s="1" t="s">
        <v>0</v>
      </c>
    </row>
    <row r="2" spans="1:26" ht="13.25" x14ac:dyDescent="0.25">
      <c r="A2" s="2"/>
    </row>
    <row r="3" spans="1:26" ht="13.25" x14ac:dyDescent="0.25">
      <c r="A3" s="578" t="s">
        <v>1</v>
      </c>
      <c r="B3" s="578"/>
      <c r="C3" s="578"/>
      <c r="D3" s="578"/>
      <c r="E3" s="578"/>
      <c r="F3" s="578"/>
      <c r="G3" s="578"/>
      <c r="H3" s="578"/>
      <c r="I3" s="578"/>
      <c r="J3" s="578"/>
      <c r="K3" s="578"/>
      <c r="L3" s="578"/>
      <c r="M3" s="578"/>
      <c r="N3" s="578"/>
      <c r="O3" s="578"/>
      <c r="P3" s="578"/>
      <c r="Q3" s="578"/>
      <c r="R3" s="578"/>
      <c r="S3" s="578"/>
      <c r="T3" s="578"/>
      <c r="U3" s="578"/>
      <c r="V3" s="578"/>
      <c r="W3" s="578"/>
      <c r="X3" s="578"/>
      <c r="Y3" s="578"/>
      <c r="Z3" s="578"/>
    </row>
    <row r="4" spans="1:26" ht="13.25" x14ac:dyDescent="0.25">
      <c r="A4" s="578" t="s">
        <v>1382</v>
      </c>
      <c r="B4" s="578"/>
      <c r="C4" s="578"/>
      <c r="D4" s="578"/>
      <c r="E4" s="578"/>
      <c r="F4" s="578"/>
      <c r="G4" s="578"/>
      <c r="H4" s="578"/>
      <c r="I4" s="578"/>
      <c r="J4" s="578"/>
      <c r="K4" s="578"/>
      <c r="L4" s="578"/>
      <c r="M4" s="578"/>
      <c r="N4" s="578"/>
      <c r="O4" s="578"/>
      <c r="P4" s="578"/>
      <c r="Q4" s="578"/>
      <c r="R4" s="578"/>
      <c r="S4" s="578"/>
      <c r="T4" s="578"/>
      <c r="U4" s="578"/>
      <c r="V4" s="578"/>
      <c r="W4" s="578"/>
      <c r="X4" s="578"/>
      <c r="Y4" s="578"/>
      <c r="Z4" s="578"/>
    </row>
    <row r="5" spans="1:26" ht="13.25" x14ac:dyDescent="0.25">
      <c r="A5" s="578" t="s">
        <v>1383</v>
      </c>
      <c r="B5" s="578"/>
      <c r="C5" s="578"/>
      <c r="D5" s="578"/>
      <c r="E5" s="578"/>
      <c r="F5" s="578"/>
      <c r="G5" s="578"/>
      <c r="H5" s="578"/>
      <c r="I5" s="578"/>
      <c r="J5" s="578"/>
      <c r="K5" s="578"/>
      <c r="L5" s="578"/>
      <c r="M5" s="578"/>
      <c r="N5" s="578"/>
      <c r="O5" s="578"/>
      <c r="P5" s="578"/>
      <c r="Q5" s="578"/>
      <c r="R5" s="578"/>
      <c r="S5" s="578"/>
      <c r="T5" s="578"/>
      <c r="U5" s="578"/>
      <c r="V5" s="578"/>
      <c r="W5" s="578"/>
      <c r="X5" s="578"/>
      <c r="Y5" s="578"/>
      <c r="Z5" s="578"/>
    </row>
    <row r="6" spans="1:26" ht="12.75" customHeight="1" x14ac:dyDescent="0.25">
      <c r="A6" s="577" t="s">
        <v>1384</v>
      </c>
      <c r="B6" s="577"/>
      <c r="C6" s="577"/>
      <c r="D6" s="577"/>
      <c r="E6" s="577"/>
      <c r="F6" s="577"/>
      <c r="G6" s="577"/>
      <c r="H6" s="577"/>
      <c r="I6" s="577"/>
      <c r="J6" s="577"/>
      <c r="K6" s="577"/>
      <c r="L6" s="577"/>
      <c r="M6" s="577"/>
      <c r="N6" s="577"/>
      <c r="O6" s="577"/>
      <c r="P6" s="577"/>
      <c r="Q6" s="577"/>
      <c r="R6" s="577"/>
      <c r="S6" s="577"/>
      <c r="T6" s="577"/>
      <c r="U6" s="577"/>
      <c r="V6" s="577"/>
      <c r="W6" s="577"/>
      <c r="X6" s="577"/>
      <c r="Y6" s="577"/>
      <c r="Z6" s="577"/>
    </row>
    <row r="7" spans="1:26" ht="13.25" x14ac:dyDescent="0.25">
      <c r="A7" s="578" t="s">
        <v>2</v>
      </c>
      <c r="B7" s="578"/>
      <c r="C7" s="578"/>
      <c r="D7" s="578"/>
      <c r="E7" s="578"/>
      <c r="F7" s="578"/>
      <c r="G7" s="578"/>
      <c r="H7" s="578"/>
      <c r="I7" s="578"/>
      <c r="J7" s="578"/>
      <c r="K7" s="578"/>
      <c r="L7" s="578"/>
      <c r="M7" s="578"/>
      <c r="N7" s="578"/>
      <c r="O7" s="578"/>
      <c r="P7" s="578"/>
      <c r="Q7" s="578"/>
      <c r="R7" s="578"/>
      <c r="S7" s="578"/>
      <c r="T7" s="578"/>
      <c r="U7" s="578"/>
      <c r="V7" s="578"/>
      <c r="W7" s="578"/>
      <c r="X7" s="578"/>
      <c r="Y7" s="578"/>
      <c r="Z7" s="578"/>
    </row>
    <row r="8" spans="1:26" ht="12.75" customHeight="1" x14ac:dyDescent="0.25">
      <c r="B8" s="3" t="s">
        <v>3</v>
      </c>
      <c r="C8" s="577" t="s">
        <v>660</v>
      </c>
      <c r="D8" s="577"/>
      <c r="E8" s="577"/>
      <c r="F8" s="577"/>
      <c r="G8" s="577"/>
      <c r="H8" s="577"/>
      <c r="I8" s="577"/>
      <c r="J8" s="577"/>
      <c r="K8" s="577"/>
      <c r="L8" s="577"/>
      <c r="M8" s="577"/>
      <c r="N8" s="577"/>
      <c r="O8" s="577"/>
      <c r="P8" s="577"/>
      <c r="Q8" s="577"/>
      <c r="R8" s="577"/>
      <c r="S8" s="577"/>
      <c r="T8" s="577"/>
      <c r="U8" s="577"/>
      <c r="V8" s="577"/>
      <c r="W8" s="577"/>
      <c r="X8" s="577"/>
      <c r="Y8" s="577"/>
      <c r="Z8" s="577"/>
    </row>
    <row r="9" spans="1:26" ht="12.75" customHeight="1" x14ac:dyDescent="0.25">
      <c r="B9" s="3" t="s">
        <v>4</v>
      </c>
      <c r="C9" s="577" t="s">
        <v>1385</v>
      </c>
      <c r="D9" s="577"/>
      <c r="E9" s="577"/>
      <c r="F9" s="577"/>
      <c r="G9" s="577"/>
      <c r="H9" s="577"/>
      <c r="I9" s="577"/>
      <c r="J9" s="577"/>
      <c r="K9" s="577"/>
      <c r="L9" s="577"/>
      <c r="M9" s="577"/>
      <c r="N9" s="577"/>
      <c r="O9" s="577"/>
      <c r="P9" s="577"/>
      <c r="Q9" s="577"/>
      <c r="R9" s="577"/>
      <c r="S9" s="577"/>
      <c r="T9" s="577"/>
      <c r="U9" s="577"/>
      <c r="V9" s="577"/>
      <c r="W9" s="577"/>
      <c r="X9" s="577"/>
      <c r="Y9" s="577"/>
      <c r="Z9" s="577"/>
    </row>
    <row r="11" spans="1:26" ht="13.25" x14ac:dyDescent="0.25">
      <c r="A11" s="4" t="s">
        <v>5</v>
      </c>
      <c r="B11" s="5" t="s">
        <v>6</v>
      </c>
    </row>
  </sheetData>
  <mergeCells count="7">
    <mergeCell ref="C9:Z9"/>
    <mergeCell ref="A3:Z3"/>
    <mergeCell ref="A4:Z4"/>
    <mergeCell ref="A5:Z5"/>
    <mergeCell ref="A6:Z6"/>
    <mergeCell ref="A7:Z7"/>
    <mergeCell ref="C8:Z8"/>
  </mergeCells>
  <hyperlinks>
    <hyperlink ref="B11"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41"/>
  <sheetViews>
    <sheetView zoomScaleNormal="100" workbookViewId="0">
      <selection activeCell="B9" sqref="B9"/>
    </sheetView>
  </sheetViews>
  <sheetFormatPr defaultRowHeight="12.5" x14ac:dyDescent="0.25"/>
  <sheetData>
    <row r="1" spans="1:2" x14ac:dyDescent="0.25">
      <c r="A1" t="s">
        <v>583</v>
      </c>
      <c r="B1" t="s">
        <v>584</v>
      </c>
    </row>
    <row r="2" spans="1:2" x14ac:dyDescent="0.25">
      <c r="A2" t="s">
        <v>309</v>
      </c>
      <c r="B2">
        <v>90861</v>
      </c>
    </row>
    <row r="3" spans="1:2" x14ac:dyDescent="0.25">
      <c r="A3" t="s">
        <v>54</v>
      </c>
      <c r="B3">
        <v>48658.103373473743</v>
      </c>
    </row>
    <row r="4" spans="1:2" x14ac:dyDescent="0.25">
      <c r="A4" t="s">
        <v>240</v>
      </c>
      <c r="B4">
        <v>47720.332716461729</v>
      </c>
    </row>
    <row r="5" spans="1:2" x14ac:dyDescent="0.25">
      <c r="A5" t="s">
        <v>83</v>
      </c>
      <c r="B5">
        <v>16095.170639844899</v>
      </c>
    </row>
    <row r="6" spans="1:2" x14ac:dyDescent="0.25">
      <c r="A6" t="s">
        <v>310</v>
      </c>
      <c r="B6">
        <v>57291.615823615299</v>
      </c>
    </row>
    <row r="7" spans="1:2" x14ac:dyDescent="0.25">
      <c r="A7" t="s">
        <v>79</v>
      </c>
      <c r="B7">
        <v>87362.859042697499</v>
      </c>
    </row>
    <row r="8" spans="1:2" x14ac:dyDescent="0.25">
      <c r="A8" t="s">
        <v>56</v>
      </c>
      <c r="B8">
        <v>10279535</v>
      </c>
    </row>
    <row r="9" spans="1:2" x14ac:dyDescent="0.25">
      <c r="A9" t="s">
        <v>585</v>
      </c>
      <c r="B9">
        <v>23162.833250693464</v>
      </c>
    </row>
    <row r="10" spans="1:2" x14ac:dyDescent="0.25">
      <c r="A10" t="s">
        <v>57</v>
      </c>
      <c r="B10">
        <v>402261.20732123469</v>
      </c>
    </row>
    <row r="11" spans="1:2" x14ac:dyDescent="0.25">
      <c r="A11" t="s">
        <v>62</v>
      </c>
      <c r="B11">
        <v>52103.835231553465</v>
      </c>
    </row>
    <row r="12" spans="1:2" x14ac:dyDescent="0.25">
      <c r="A12" t="s">
        <v>58</v>
      </c>
      <c r="B12">
        <v>437093.87876620237</v>
      </c>
    </row>
    <row r="13" spans="1:2" x14ac:dyDescent="0.25">
      <c r="A13" t="s">
        <v>77</v>
      </c>
      <c r="B13">
        <v>26934.235867848995</v>
      </c>
    </row>
    <row r="14" spans="1:2" x14ac:dyDescent="0.25">
      <c r="A14" t="s">
        <v>59</v>
      </c>
      <c r="B14">
        <v>16636.73044759758</v>
      </c>
    </row>
    <row r="15" spans="1:2" x14ac:dyDescent="0.25">
      <c r="A15" t="s">
        <v>60</v>
      </c>
      <c r="B15">
        <v>45718.788867146606</v>
      </c>
    </row>
    <row r="16" spans="1:2" x14ac:dyDescent="0.25">
      <c r="A16" t="s">
        <v>61</v>
      </c>
      <c r="B16">
        <v>38187.939912298869</v>
      </c>
    </row>
    <row r="17" spans="1:2" x14ac:dyDescent="0.25">
      <c r="A17" t="s">
        <v>81</v>
      </c>
      <c r="B17">
        <v>41807.284682417005</v>
      </c>
    </row>
    <row r="18" spans="1:2" x14ac:dyDescent="0.25">
      <c r="A18" t="s">
        <v>63</v>
      </c>
      <c r="B18">
        <v>21139.214692709902</v>
      </c>
    </row>
    <row r="19" spans="1:2" x14ac:dyDescent="0.25">
      <c r="A19" t="s">
        <v>84</v>
      </c>
      <c r="B19">
        <v>103514.31578889703</v>
      </c>
    </row>
    <row r="20" spans="1:2" x14ac:dyDescent="0.25">
      <c r="A20" t="s">
        <v>64</v>
      </c>
      <c r="B20">
        <v>5011589.76554434</v>
      </c>
    </row>
    <row r="21" spans="1:2" x14ac:dyDescent="0.25">
      <c r="A21" t="s">
        <v>66</v>
      </c>
      <c r="B21">
        <v>46685.057918941704</v>
      </c>
    </row>
    <row r="22" spans="1:2" x14ac:dyDescent="0.25">
      <c r="A22" t="s">
        <v>65</v>
      </c>
      <c r="B22">
        <v>9247101.3906362541</v>
      </c>
    </row>
    <row r="23" spans="1:2" x14ac:dyDescent="0.25">
      <c r="A23" t="s">
        <v>67</v>
      </c>
      <c r="B23">
        <v>157092.64219875442</v>
      </c>
    </row>
    <row r="24" spans="1:2" x14ac:dyDescent="0.25">
      <c r="A24" t="s">
        <v>68</v>
      </c>
      <c r="B24">
        <v>30232.942350027566</v>
      </c>
    </row>
    <row r="25" spans="1:2" x14ac:dyDescent="0.25">
      <c r="A25" t="s">
        <v>69</v>
      </c>
      <c r="B25">
        <v>5185180.8843894061</v>
      </c>
    </row>
    <row r="26" spans="1:2" x14ac:dyDescent="0.25">
      <c r="A26" t="s">
        <v>70</v>
      </c>
      <c r="B26">
        <v>46020316.112404078</v>
      </c>
    </row>
    <row r="27" spans="1:2" x14ac:dyDescent="0.25">
      <c r="A27" t="s">
        <v>86</v>
      </c>
      <c r="B27">
        <v>16425.518309918611</v>
      </c>
    </row>
    <row r="28" spans="1:2" x14ac:dyDescent="0.25">
      <c r="A28" t="s">
        <v>71</v>
      </c>
      <c r="B28">
        <v>58039.910713162288</v>
      </c>
    </row>
    <row r="29" spans="1:2" x14ac:dyDescent="0.25">
      <c r="A29" t="s">
        <v>85</v>
      </c>
      <c r="B29">
        <v>12912.652792147241</v>
      </c>
    </row>
    <row r="30" spans="1:2" x14ac:dyDescent="0.25">
      <c r="A30" t="s">
        <v>192</v>
      </c>
      <c r="B30">
        <v>25902</v>
      </c>
    </row>
    <row r="31" spans="1:2" x14ac:dyDescent="0.25">
      <c r="A31" t="s">
        <v>72</v>
      </c>
      <c r="B31">
        <v>54842.870772855691</v>
      </c>
    </row>
    <row r="32" spans="1:2" x14ac:dyDescent="0.25">
      <c r="A32" t="s">
        <v>73</v>
      </c>
      <c r="B32">
        <v>627369.60910695046</v>
      </c>
    </row>
    <row r="33" spans="1:2" x14ac:dyDescent="0.25">
      <c r="A33" t="s">
        <v>187</v>
      </c>
      <c r="B33">
        <v>64150</v>
      </c>
    </row>
    <row r="34" spans="1:2" x14ac:dyDescent="0.25">
      <c r="A34" t="s">
        <v>244</v>
      </c>
      <c r="B34">
        <v>60914.712605537614</v>
      </c>
    </row>
    <row r="35" spans="1:2" x14ac:dyDescent="0.25">
      <c r="A35" t="s">
        <v>74</v>
      </c>
      <c r="B35">
        <v>19477.757160093603</v>
      </c>
    </row>
    <row r="36" spans="1:2" x14ac:dyDescent="0.25">
      <c r="A36" t="s">
        <v>87</v>
      </c>
      <c r="B36">
        <v>65148</v>
      </c>
    </row>
    <row r="37" spans="1:2" x14ac:dyDescent="0.25">
      <c r="A37" t="s">
        <v>75</v>
      </c>
      <c r="B37">
        <v>13200.3067695726</v>
      </c>
    </row>
    <row r="38" spans="1:2" x14ac:dyDescent="0.25">
      <c r="A38" t="s">
        <v>76</v>
      </c>
      <c r="B38">
        <v>20424.328424568183</v>
      </c>
    </row>
    <row r="39" spans="1:2" x14ac:dyDescent="0.25">
      <c r="A39" t="s">
        <v>78</v>
      </c>
      <c r="B39">
        <v>465766.79293861403</v>
      </c>
    </row>
    <row r="40" spans="1:2" x14ac:dyDescent="0.25">
      <c r="A40" t="s">
        <v>80</v>
      </c>
      <c r="B40">
        <v>74751</v>
      </c>
    </row>
    <row r="41" spans="1:2" x14ac:dyDescent="0.25">
      <c r="A41" t="s">
        <v>316</v>
      </c>
      <c r="B41">
        <v>60220.387317486115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Q63"/>
  <sheetViews>
    <sheetView zoomScale="70" zoomScaleNormal="70" workbookViewId="0">
      <pane xSplit="1" ySplit="10" topLeftCell="B11" activePane="bottomRight" state="frozen"/>
      <selection pane="topRight" activeCell="B1" sqref="B1"/>
      <selection pane="bottomLeft" activeCell="A11" sqref="A11"/>
      <selection pane="bottomRight" sqref="A1:O1"/>
    </sheetView>
  </sheetViews>
  <sheetFormatPr defaultColWidth="8.6328125" defaultRowHeight="12.5" x14ac:dyDescent="0.25"/>
  <cols>
    <col min="1" max="1" width="19.54296875" style="23" customWidth="1"/>
    <col min="2" max="2" width="18" style="23" customWidth="1"/>
    <col min="3" max="3" width="19.90625" style="23" customWidth="1"/>
    <col min="4" max="4" width="26.90625" style="23" customWidth="1"/>
    <col min="5" max="5" width="10.90625" style="23" customWidth="1"/>
    <col min="6" max="6" width="16.90625" style="23" customWidth="1"/>
    <col min="7" max="7" width="24.90625" style="23" customWidth="1"/>
    <col min="8" max="9" width="22.90625" style="23" customWidth="1"/>
    <col min="10" max="10" width="14.08984375" style="23" customWidth="1"/>
    <col min="11" max="11" width="14.453125" style="23" customWidth="1"/>
    <col min="12" max="12" width="42.08984375" style="23" customWidth="1"/>
    <col min="13" max="13" width="29.54296875" style="23" customWidth="1"/>
    <col min="14" max="17" width="19.90625" style="23" customWidth="1"/>
    <col min="18" max="16384" width="8.6328125" style="23"/>
  </cols>
  <sheetData>
    <row r="1" spans="1:17" ht="17.399999999999999" x14ac:dyDescent="0.3">
      <c r="A1" s="579" t="s">
        <v>7</v>
      </c>
      <c r="B1" s="580"/>
      <c r="C1" s="580"/>
      <c r="D1" s="580"/>
      <c r="E1" s="580"/>
      <c r="F1" s="580"/>
      <c r="G1" s="580"/>
      <c r="H1" s="580"/>
      <c r="I1" s="580"/>
      <c r="J1" s="580"/>
      <c r="K1" s="580"/>
      <c r="L1" s="580"/>
      <c r="M1" s="580"/>
      <c r="N1" s="580"/>
      <c r="O1" s="580"/>
      <c r="P1" s="516"/>
      <c r="Q1" s="516"/>
    </row>
    <row r="2" spans="1:17" ht="17.399999999999999" x14ac:dyDescent="0.3">
      <c r="A2" s="579">
        <v>2020</v>
      </c>
      <c r="B2" s="579"/>
      <c r="C2" s="579"/>
      <c r="D2" s="579"/>
      <c r="E2" s="579"/>
      <c r="F2" s="579"/>
      <c r="G2" s="579"/>
      <c r="H2" s="579"/>
      <c r="I2" s="579"/>
      <c r="J2" s="579"/>
      <c r="K2" s="579"/>
      <c r="L2" s="579"/>
      <c r="M2" s="579"/>
      <c r="N2" s="579"/>
      <c r="O2" s="579"/>
      <c r="P2" s="515"/>
      <c r="Q2" s="515"/>
    </row>
    <row r="3" spans="1:17" ht="15.65" x14ac:dyDescent="0.25">
      <c r="A3" s="581" t="s">
        <v>1393</v>
      </c>
      <c r="B3" s="581"/>
      <c r="C3" s="581"/>
      <c r="D3" s="581"/>
      <c r="E3" s="581"/>
      <c r="F3" s="581"/>
      <c r="G3" s="581"/>
      <c r="H3" s="581"/>
      <c r="I3" s="581"/>
      <c r="J3" s="581"/>
      <c r="K3" s="581"/>
      <c r="L3" s="581"/>
      <c r="M3" s="581"/>
      <c r="N3" s="581"/>
      <c r="O3" s="581"/>
      <c r="P3" s="517"/>
      <c r="Q3" s="517"/>
    </row>
    <row r="4" spans="1:17" ht="18" customHeight="1" x14ac:dyDescent="0.25"/>
    <row r="5" spans="1:17" ht="26.15" hidden="1" customHeight="1" x14ac:dyDescent="0.25">
      <c r="A5" s="6" t="s">
        <v>5</v>
      </c>
      <c r="B5" s="6" t="s">
        <v>8</v>
      </c>
      <c r="C5" s="6" t="s">
        <v>8</v>
      </c>
      <c r="D5" s="6" t="s">
        <v>8</v>
      </c>
      <c r="E5" s="6" t="s">
        <v>8</v>
      </c>
      <c r="F5" s="6" t="s">
        <v>8</v>
      </c>
      <c r="G5" s="6" t="s">
        <v>8</v>
      </c>
      <c r="H5" s="6" t="s">
        <v>8</v>
      </c>
      <c r="I5" s="6" t="s">
        <v>8</v>
      </c>
      <c r="J5" s="6" t="s">
        <v>9</v>
      </c>
      <c r="K5" s="6" t="s">
        <v>9</v>
      </c>
      <c r="L5" s="6" t="s">
        <v>8</v>
      </c>
      <c r="M5" s="6" t="s">
        <v>8</v>
      </c>
      <c r="N5" s="6" t="s">
        <v>8</v>
      </c>
      <c r="O5" s="6" t="s">
        <v>8</v>
      </c>
      <c r="P5" s="6"/>
      <c r="Q5" s="6"/>
    </row>
    <row r="6" spans="1:17" ht="36.9" hidden="1" customHeight="1" x14ac:dyDescent="0.25">
      <c r="A6" s="7" t="s">
        <v>10</v>
      </c>
      <c r="B6" s="8" t="s">
        <v>11</v>
      </c>
      <c r="C6" s="9" t="s">
        <v>12</v>
      </c>
      <c r="D6" s="9" t="s">
        <v>13</v>
      </c>
      <c r="E6" s="9" t="s">
        <v>14</v>
      </c>
      <c r="F6" s="9" t="s">
        <v>15</v>
      </c>
      <c r="G6" s="10" t="s">
        <v>16</v>
      </c>
      <c r="H6" s="11" t="s">
        <v>17</v>
      </c>
      <c r="I6" s="11" t="s">
        <v>18</v>
      </c>
      <c r="J6" s="11" t="s">
        <v>19</v>
      </c>
      <c r="K6" s="11" t="s">
        <v>20</v>
      </c>
      <c r="L6" s="11" t="s">
        <v>21</v>
      </c>
      <c r="M6" s="11" t="s">
        <v>22</v>
      </c>
      <c r="N6" s="11" t="s">
        <v>23</v>
      </c>
      <c r="O6" s="11" t="s">
        <v>24</v>
      </c>
      <c r="P6" s="9"/>
      <c r="Q6" s="9"/>
    </row>
    <row r="7" spans="1:17" ht="13.4" customHeight="1" x14ac:dyDescent="0.25">
      <c r="A7" s="157"/>
      <c r="B7" s="582" t="s">
        <v>25</v>
      </c>
      <c r="C7" s="584" t="s">
        <v>26</v>
      </c>
      <c r="D7" s="584" t="s">
        <v>1263</v>
      </c>
      <c r="E7" s="584" t="s">
        <v>27</v>
      </c>
      <c r="F7" s="586" t="s">
        <v>28</v>
      </c>
      <c r="G7" s="588" t="s">
        <v>29</v>
      </c>
      <c r="H7" s="589"/>
      <c r="I7" s="589"/>
      <c r="J7" s="589"/>
      <c r="K7" s="589"/>
      <c r="L7" s="589"/>
      <c r="M7" s="582" t="s">
        <v>1004</v>
      </c>
      <c r="N7" s="584"/>
      <c r="O7" s="586"/>
      <c r="P7" s="520"/>
      <c r="Q7" s="520"/>
    </row>
    <row r="8" spans="1:17" ht="30" customHeight="1" x14ac:dyDescent="0.25">
      <c r="A8" s="34"/>
      <c r="B8" s="583"/>
      <c r="C8" s="585"/>
      <c r="D8" s="585"/>
      <c r="E8" s="585"/>
      <c r="F8" s="587"/>
      <c r="G8" s="582" t="s">
        <v>30</v>
      </c>
      <c r="H8" s="586" t="s">
        <v>31</v>
      </c>
      <c r="I8" s="586" t="s">
        <v>709</v>
      </c>
      <c r="J8" s="522" t="s">
        <v>32</v>
      </c>
      <c r="K8" s="12" t="s">
        <v>33</v>
      </c>
      <c r="L8" s="582" t="s">
        <v>34</v>
      </c>
      <c r="M8" s="583"/>
      <c r="N8" s="585"/>
      <c r="O8" s="587"/>
      <c r="P8" s="520"/>
      <c r="Q8" s="520"/>
    </row>
    <row r="9" spans="1:17" x14ac:dyDescent="0.25">
      <c r="A9" s="34"/>
      <c r="B9" s="583"/>
      <c r="C9" s="585"/>
      <c r="D9" s="585"/>
      <c r="E9" s="585"/>
      <c r="F9" s="587"/>
      <c r="G9" s="583"/>
      <c r="H9" s="587"/>
      <c r="I9" s="587"/>
      <c r="J9" s="521" t="s">
        <v>35</v>
      </c>
      <c r="K9" s="521" t="s">
        <v>35</v>
      </c>
      <c r="L9" s="583"/>
      <c r="M9" s="195" t="s">
        <v>598</v>
      </c>
      <c r="N9" s="521" t="s">
        <v>37</v>
      </c>
      <c r="O9" s="195" t="s">
        <v>38</v>
      </c>
      <c r="P9" s="520"/>
      <c r="Q9" s="520"/>
    </row>
    <row r="10" spans="1:17" ht="13.25" x14ac:dyDescent="0.25">
      <c r="A10" s="64"/>
      <c r="B10" s="542" t="s">
        <v>39</v>
      </c>
      <c r="C10" s="543" t="s">
        <v>40</v>
      </c>
      <c r="D10" s="543" t="s">
        <v>41</v>
      </c>
      <c r="E10" s="543" t="s">
        <v>42</v>
      </c>
      <c r="F10" s="544" t="s">
        <v>43</v>
      </c>
      <c r="G10" s="542" t="s">
        <v>44</v>
      </c>
      <c r="H10" s="544" t="s">
        <v>45</v>
      </c>
      <c r="I10" s="544" t="s">
        <v>46</v>
      </c>
      <c r="J10" s="544" t="s">
        <v>47</v>
      </c>
      <c r="K10" s="14" t="s">
        <v>48</v>
      </c>
      <c r="L10" s="542" t="s">
        <v>49</v>
      </c>
      <c r="M10" s="14" t="s">
        <v>50</v>
      </c>
      <c r="N10" s="14" t="s">
        <v>51</v>
      </c>
      <c r="O10" s="14" t="s">
        <v>52</v>
      </c>
      <c r="P10" s="520"/>
      <c r="Q10" s="520"/>
    </row>
    <row r="11" spans="1:17" ht="13.25" x14ac:dyDescent="0.25">
      <c r="A11" s="254" t="s">
        <v>53</v>
      </c>
      <c r="B11" s="15"/>
      <c r="C11" s="16"/>
      <c r="D11" s="16"/>
      <c r="E11" s="16"/>
      <c r="F11" s="17"/>
      <c r="G11" s="15"/>
      <c r="H11" s="17"/>
      <c r="I11" s="17"/>
      <c r="J11" s="16"/>
      <c r="K11" s="16"/>
      <c r="L11" s="15"/>
      <c r="M11" s="15"/>
      <c r="N11" s="16"/>
      <c r="O11" s="17"/>
      <c r="P11" s="46"/>
      <c r="Q11" s="46"/>
    </row>
    <row r="12" spans="1:17" ht="13.25" x14ac:dyDescent="0.25">
      <c r="A12" s="65" t="s">
        <v>309</v>
      </c>
      <c r="B12" s="226" t="s">
        <v>1275</v>
      </c>
      <c r="C12" s="188"/>
      <c r="D12" s="188"/>
      <c r="E12" s="188"/>
      <c r="F12" s="189"/>
      <c r="G12" s="525"/>
      <c r="H12" s="526"/>
      <c r="I12" s="189"/>
      <c r="J12" s="227"/>
      <c r="K12" s="201"/>
      <c r="L12" s="200"/>
      <c r="M12" s="228"/>
      <c r="N12" s="41"/>
      <c r="O12" s="42"/>
      <c r="P12" s="43"/>
      <c r="Q12" s="43"/>
    </row>
    <row r="13" spans="1:17" ht="80.5" x14ac:dyDescent="0.25">
      <c r="A13" s="65" t="s">
        <v>54</v>
      </c>
      <c r="B13" s="226" t="s">
        <v>92</v>
      </c>
      <c r="C13" s="188" t="str">
        <f>"C above EUR 460.66 per month ("&amp;TEXT(100*460.66*12/'Average wages'!B5,0)&amp;"% of AW; Geringfügigkeitsgrenze 2020)"</f>
        <v>C above EUR 460.66 per month (11% of AW; Geringfügigkeitsgrenze 2020)</v>
      </c>
      <c r="D13" s="188" t="s">
        <v>93</v>
      </c>
      <c r="E13" s="188">
        <v>0</v>
      </c>
      <c r="F13" s="189">
        <v>9</v>
      </c>
      <c r="G13" s="592">
        <v>0.55000000000000004</v>
      </c>
      <c r="H13" s="593"/>
      <c r="I13" s="189" t="s">
        <v>94</v>
      </c>
      <c r="J13" s="227" t="s">
        <v>103</v>
      </c>
      <c r="K13" s="201">
        <f>57.58*30*12/'Average wages'!B5</f>
        <v>0.42600920633705647</v>
      </c>
      <c r="L13" s="200" t="str">
        <f>"No reduction for earnings up to EUR 460.66 ("&amp;TEXT(100*460.66*12/'Average wages'!B5,0)&amp;"% of AW; Geringfügigkeitsgrenze 2020), with higher earnings total benefit withdrawal. An into-work benefit - Kombilohnbeihilfe - exists, see employment related provisions."</f>
        <v>No reduction for earnings up to EUR 460.66 (11% of AW; Geringfügigkeitsgrenze 2020), with higher earnings total benefit withdrawal. An into-work benefit - Kombilohnbeihilfe - exists, see employment related provisions.</v>
      </c>
      <c r="M13" s="228" t="s">
        <v>1151</v>
      </c>
      <c r="N13" s="41" t="s">
        <v>766</v>
      </c>
      <c r="O13" s="42" t="s">
        <v>1152</v>
      </c>
      <c r="P13" s="43"/>
      <c r="Q13" s="43"/>
    </row>
    <row r="14" spans="1:17" ht="138" x14ac:dyDescent="0.25">
      <c r="A14" s="65" t="s">
        <v>55</v>
      </c>
      <c r="B14" s="226" t="s">
        <v>96</v>
      </c>
      <c r="C14" s="188" t="s">
        <v>97</v>
      </c>
      <c r="D14" s="188" t="s">
        <v>947</v>
      </c>
      <c r="E14" s="188">
        <v>0</v>
      </c>
      <c r="F14" s="189" t="s">
        <v>98</v>
      </c>
      <c r="G14" s="529" t="s">
        <v>99</v>
      </c>
      <c r="H14" s="530" t="str">
        <f>"From month 49 onwards (3rd period): Flat rate of EUR 40.48/day ("&amp;TEXT(40.48*6*52/'Average wages'!B6,"0%")&amp;" of AW)"</f>
        <v>From month 49 onwards (3rd period): Flat rate of EUR 40.48/day (26% of AW)</v>
      </c>
      <c r="I14" s="189" t="s">
        <v>100</v>
      </c>
      <c r="J14" s="201">
        <f>40.48*26*12/'Average wages'!B6</f>
        <v>0.26466202729645272</v>
      </c>
      <c r="K14" s="201">
        <f>2671.37 *12/'Average wages'!B6</f>
        <v>0.67175642279086056</v>
      </c>
      <c r="L14" s="529" t="s">
        <v>997</v>
      </c>
      <c r="M14" s="228" t="s">
        <v>101</v>
      </c>
      <c r="N14" s="41" t="s">
        <v>1014</v>
      </c>
      <c r="O14" s="189" t="s">
        <v>95</v>
      </c>
      <c r="P14" s="36"/>
      <c r="Q14" s="36"/>
    </row>
    <row r="15" spans="1:17" ht="45.65" x14ac:dyDescent="0.25">
      <c r="A15" s="65" t="s">
        <v>1389</v>
      </c>
      <c r="B15" s="39" t="s">
        <v>102</v>
      </c>
      <c r="C15" s="188" t="s">
        <v>97</v>
      </c>
      <c r="D15" s="41" t="s">
        <v>948</v>
      </c>
      <c r="E15" s="41">
        <v>7</v>
      </c>
      <c r="F15" s="42" t="s">
        <v>949</v>
      </c>
      <c r="G15" s="592">
        <v>0.55000000000000004</v>
      </c>
      <c r="H15" s="593"/>
      <c r="I15" s="189" t="s">
        <v>100</v>
      </c>
      <c r="J15" s="201" t="s">
        <v>103</v>
      </c>
      <c r="K15" s="201">
        <f>562*52/'Average wages'!B7</f>
        <v>0.51009208904095915</v>
      </c>
      <c r="L15" s="200" t="s">
        <v>998</v>
      </c>
      <c r="M15" s="38" t="s">
        <v>95</v>
      </c>
      <c r="N15" s="188" t="s">
        <v>766</v>
      </c>
      <c r="O15" s="189" t="s">
        <v>95</v>
      </c>
      <c r="P15" s="36"/>
      <c r="Q15" s="36"/>
    </row>
    <row r="16" spans="1:17" ht="22.75" x14ac:dyDescent="0.25">
      <c r="A16" s="65" t="s">
        <v>56</v>
      </c>
      <c r="B16" s="39" t="s">
        <v>1447</v>
      </c>
      <c r="C16" s="188"/>
      <c r="D16" s="188"/>
      <c r="E16" s="188"/>
      <c r="F16" s="189"/>
      <c r="G16" s="200"/>
      <c r="H16" s="190"/>
      <c r="I16" s="189"/>
      <c r="J16" s="201"/>
      <c r="K16" s="201"/>
      <c r="L16" s="200"/>
      <c r="M16" s="38"/>
      <c r="N16" s="188"/>
      <c r="O16" s="42"/>
      <c r="P16" s="43"/>
      <c r="Q16" s="43"/>
    </row>
    <row r="17" spans="1:17" ht="34.5" x14ac:dyDescent="0.25">
      <c r="A17" s="65" t="s">
        <v>57</v>
      </c>
      <c r="B17" s="39" t="s">
        <v>140</v>
      </c>
      <c r="C17" s="188" t="s">
        <v>97</v>
      </c>
      <c r="D17" s="188" t="s">
        <v>105</v>
      </c>
      <c r="E17" s="188">
        <v>0</v>
      </c>
      <c r="F17" s="189">
        <v>5</v>
      </c>
      <c r="G17" s="529" t="s">
        <v>106</v>
      </c>
      <c r="H17" s="530" t="s">
        <v>107</v>
      </c>
      <c r="I17" s="189" t="s">
        <v>94</v>
      </c>
      <c r="J17" s="201" t="s">
        <v>103</v>
      </c>
      <c r="K17" s="229">
        <f>19389*12/'Average wages'!B9</f>
        <v>0.57840029255964964</v>
      </c>
      <c r="L17" s="529" t="s">
        <v>1035</v>
      </c>
      <c r="M17" s="38" t="s">
        <v>913</v>
      </c>
      <c r="N17" s="188" t="s">
        <v>95</v>
      </c>
      <c r="O17" s="189" t="s">
        <v>95</v>
      </c>
      <c r="P17" s="36"/>
      <c r="Q17" s="36"/>
    </row>
    <row r="18" spans="1:17" ht="115" x14ac:dyDescent="0.25">
      <c r="A18" s="65" t="s">
        <v>58</v>
      </c>
      <c r="B18" s="39" t="s">
        <v>695</v>
      </c>
      <c r="C18" s="188" t="s">
        <v>108</v>
      </c>
      <c r="D18" s="188" t="str">
        <f>"E: Earnings from employment of DKK 238,512 ("&amp;TEXT(100*238515/'Average wages'!B10,0)&amp;"% of AW) within the last three years and minimum of 12 months of employment
C: Payment of membership fee"</f>
        <v>E: Earnings from employment of DKK 238,512 (55% of AW) within the last three years and minimum of 12 months of employment
C: Payment of membership fee</v>
      </c>
      <c r="E18" s="188">
        <v>0</v>
      </c>
      <c r="F18" s="189" t="s">
        <v>696</v>
      </c>
      <c r="G18" s="592">
        <v>0.9</v>
      </c>
      <c r="H18" s="593"/>
      <c r="I18" s="189" t="s">
        <v>109</v>
      </c>
      <c r="J18" s="201" t="s">
        <v>103</v>
      </c>
      <c r="K18" s="201">
        <f xml:space="preserve"> 228996/'Average wages'!B10</f>
        <v>0.52390575829246033</v>
      </c>
      <c r="L18" s="529" t="s">
        <v>999</v>
      </c>
      <c r="M18" s="38" t="s">
        <v>1013</v>
      </c>
      <c r="N18" s="188" t="s">
        <v>95</v>
      </c>
      <c r="O18" s="189" t="s">
        <v>95</v>
      </c>
      <c r="P18" s="36"/>
      <c r="Q18" s="36"/>
    </row>
    <row r="19" spans="1:17" ht="34.5" x14ac:dyDescent="0.25">
      <c r="A19" s="65" t="s">
        <v>59</v>
      </c>
      <c r="B19" s="226" t="s">
        <v>110</v>
      </c>
      <c r="C19" s="188" t="s">
        <v>97</v>
      </c>
      <c r="D19" s="188" t="s">
        <v>1237</v>
      </c>
      <c r="E19" s="188">
        <v>7</v>
      </c>
      <c r="F19" s="189">
        <v>12</v>
      </c>
      <c r="G19" s="529" t="s">
        <v>111</v>
      </c>
      <c r="H19" s="530" t="s">
        <v>112</v>
      </c>
      <c r="I19" s="189" t="s">
        <v>1238</v>
      </c>
      <c r="J19" s="201">
        <f xml:space="preserve"> 540*12/(12*30)*0.5*365/'Average wages'!B11</f>
        <v>0.19745466276244014</v>
      </c>
      <c r="K19" s="201">
        <f xml:space="preserve"> 35.62*3*365*0.5/'Average wages'!B11</f>
        <v>1.1722225145996861</v>
      </c>
      <c r="L19" s="529" t="s">
        <v>113</v>
      </c>
      <c r="M19" s="38" t="s">
        <v>1239</v>
      </c>
      <c r="N19" s="188" t="s">
        <v>95</v>
      </c>
      <c r="O19" s="189" t="s">
        <v>95</v>
      </c>
      <c r="P19" s="36"/>
      <c r="Q19" s="36"/>
    </row>
    <row r="20" spans="1:17" ht="71" x14ac:dyDescent="0.25">
      <c r="A20" s="255" t="s">
        <v>60</v>
      </c>
      <c r="B20" s="230" t="s">
        <v>655</v>
      </c>
      <c r="C20" s="231" t="s">
        <v>141</v>
      </c>
      <c r="D20" s="44" t="str">
        <f>"E + C: 26 weeks in last 28 months
H: 18 hours/week
W: EUR 1236 per month ("&amp;TEXT(1236*12/'Average wages'!B12,"0%")&amp;" of AW)  or according to collective agreement"</f>
        <v>E + C: 26 weeks in last 28 months
H: 18 hours/week
W: EUR 1236 per month (32% of AW)  or according to collective agreement</v>
      </c>
      <c r="E20" s="231">
        <v>5</v>
      </c>
      <c r="F20" s="232">
        <f>(400/5/52)*12</f>
        <v>18.461538461538463</v>
      </c>
      <c r="G20" s="594" t="str">
        <f>"Basic flat-rate benefit: EUR 33.66 per day ("&amp;TEXT(33.66*21.5*12/'Average wages'!B12,"0%")&amp;" of AW)
Earnings-related benefit: 45% of daily reference earnings above basic benefit and up to EUR 148.73 per day ("&amp;TEXT(33.66*95*12/'Average wages'!B12,"0%")&amp;" % of AW), plus 20% of daily reference earnings in excess of this amount"</f>
        <v>Basic flat-rate benefit: EUR 33.66 per day (19% of AW)
Earnings-related benefit: 45% of daily reference earnings above basic benefit and up to EUR 148.73 per day (84% % of AW), plus 20% of daily reference earnings in excess of this amount</v>
      </c>
      <c r="H20" s="595"/>
      <c r="I20" s="232" t="s">
        <v>1240</v>
      </c>
      <c r="J20" s="233">
        <f>33.66*21.5*12/'Average wages'!B12</f>
        <v>0.18994991370474598</v>
      </c>
      <c r="K20" s="190" t="s">
        <v>103</v>
      </c>
      <c r="L20" s="527" t="str">
        <f xml:space="preserve"> "For part-time work (&lt; 80% of full-time): benefit reduced by 50% of gross earnings exceeding EUR 300 per month ("&amp;TEXT(300*12/'Average wages'!B12,"0%")&amp;" of AW); total income (benefit + earnings) cannot exceed 100% of reference earnings. Full-time work not permitted."</f>
        <v>For part-time work (&lt; 80% of full-time): benefit reduced by 50% of gross earnings exceeding EUR 300 per month (8% of AW); total income (benefit + earnings) cannot exceed 100% of reference earnings. Full-time work not permitted.</v>
      </c>
      <c r="M20" s="234" t="s">
        <v>1241</v>
      </c>
      <c r="N20" s="231" t="s">
        <v>1242</v>
      </c>
      <c r="O20" s="232" t="s">
        <v>772</v>
      </c>
      <c r="P20" s="36"/>
      <c r="Q20" s="36"/>
    </row>
    <row r="21" spans="1:17" ht="34.5" x14ac:dyDescent="0.25">
      <c r="A21" s="65" t="s">
        <v>61</v>
      </c>
      <c r="B21" s="235" t="s">
        <v>158</v>
      </c>
      <c r="C21" s="36" t="s">
        <v>97</v>
      </c>
      <c r="D21" s="36" t="s">
        <v>956</v>
      </c>
      <c r="E21" s="36">
        <v>7</v>
      </c>
      <c r="F21" s="191">
        <v>24</v>
      </c>
      <c r="G21" s="592" t="s">
        <v>114</v>
      </c>
      <c r="H21" s="593"/>
      <c r="I21" s="191" t="s">
        <v>100</v>
      </c>
      <c r="J21" s="19">
        <f>29.26*365/'Average wages'!B13</f>
        <v>0.27966682739438414</v>
      </c>
      <c r="K21" s="19">
        <f>0.57*13508*12/'Average wages'!B13</f>
        <v>2.4194737975442138</v>
      </c>
      <c r="L21" s="236" t="s">
        <v>1000</v>
      </c>
      <c r="M21" s="35" t="s">
        <v>1012</v>
      </c>
      <c r="N21" s="36" t="s">
        <v>95</v>
      </c>
      <c r="O21" s="191" t="s">
        <v>95</v>
      </c>
      <c r="P21" s="36"/>
      <c r="Q21" s="36"/>
    </row>
    <row r="22" spans="1:17" ht="57" x14ac:dyDescent="0.25">
      <c r="A22" s="65" t="s">
        <v>62</v>
      </c>
      <c r="B22" s="228" t="s">
        <v>159</v>
      </c>
      <c r="C22" s="188" t="s">
        <v>97</v>
      </c>
      <c r="D22" s="188" t="str">
        <f>"E: 12 months
C: 12 months in last 2 years (Marginally employed - &lt;EUR450/month, &lt;"&amp;TEXT(450*12/'Average wages'!B14,"0%")&amp;" of AW - are contribution and insurance free)"</f>
        <v>E: 12 months
C: 12 months in last 2 years (Marginally employed - &lt;EUR450/month, &lt;10% of AW - are contribution and insurance free)</v>
      </c>
      <c r="E22" s="188">
        <v>0</v>
      </c>
      <c r="F22" s="189">
        <v>12</v>
      </c>
      <c r="G22" s="592">
        <v>0.6</v>
      </c>
      <c r="H22" s="593"/>
      <c r="I22" s="189" t="s">
        <v>94</v>
      </c>
      <c r="J22" s="201" t="s">
        <v>103</v>
      </c>
      <c r="K22" s="201">
        <f>0.6*6900*12/'Average wages'!B14</f>
        <v>0.95348067525582803</v>
      </c>
      <c r="L22" s="529" t="str">
        <f>"Work income from up to15 hours per week disregarded up to EUR165 net income/month ("&amp;TEXT(100*165*12/'Average wages'!B14,0)&amp;"% of AW), 100% withdrawal rate above this level, total loss of benefit if working 15 hours or more per week"</f>
        <v>Work income from up to15 hours per week disregarded up to EUR165 net income/month (4% of AW), 100% withdrawal rate above this level, total loss of benefit if working 15 hours or more per week</v>
      </c>
      <c r="M22" s="38" t="s">
        <v>1165</v>
      </c>
      <c r="N22" s="188" t="s">
        <v>767</v>
      </c>
      <c r="O22" s="189" t="s">
        <v>95</v>
      </c>
      <c r="P22" s="36"/>
      <c r="Q22" s="36"/>
    </row>
    <row r="23" spans="1:17" s="237" customFormat="1" ht="46" x14ac:dyDescent="0.25">
      <c r="A23" s="65" t="s">
        <v>63</v>
      </c>
      <c r="B23" s="226" t="s">
        <v>1243</v>
      </c>
      <c r="C23" s="231" t="s">
        <v>97</v>
      </c>
      <c r="D23" s="231" t="s">
        <v>115</v>
      </c>
      <c r="E23" s="231">
        <v>6</v>
      </c>
      <c r="F23" s="232">
        <v>12</v>
      </c>
      <c r="G23" s="596" t="str">
        <f>"Flat rate of EUR 399.25 per month ("&amp;TEXT(399.25*12/'Average wages'!B15,"0%")&amp;" of AW) for prior full-time employed (lower for part-time with low income)"</f>
        <v>Flat rate of EUR 399.25 per month (23% of AW) for prior full-time employed (lower for part-time with low income)</v>
      </c>
      <c r="H23" s="597"/>
      <c r="I23" s="232" t="s">
        <v>95</v>
      </c>
      <c r="J23" s="233" t="str">
        <f>"Flat rate of "&amp;TEXT(399.25*12/'Average wages'!B15,"0%")</f>
        <v>Flat rate of 23%</v>
      </c>
      <c r="K23" s="233" t="str">
        <f>"Flat rate of "&amp;TEXT(399.25*12/'Average wages'!B15,"0%")</f>
        <v>Flat rate of 23%</v>
      </c>
      <c r="L23" s="529" t="s">
        <v>113</v>
      </c>
      <c r="M23" s="38" t="s">
        <v>763</v>
      </c>
      <c r="N23" s="188" t="s">
        <v>1244</v>
      </c>
      <c r="O23" s="189" t="s">
        <v>95</v>
      </c>
      <c r="P23" s="231"/>
      <c r="Q23" s="231"/>
    </row>
    <row r="24" spans="1:17" ht="23" x14ac:dyDescent="0.25">
      <c r="A24" s="65" t="s">
        <v>64</v>
      </c>
      <c r="B24" s="38" t="s">
        <v>116</v>
      </c>
      <c r="C24" s="188" t="s">
        <v>97</v>
      </c>
      <c r="D24" s="188" t="s">
        <v>117</v>
      </c>
      <c r="E24" s="188">
        <v>0</v>
      </c>
      <c r="F24" s="189">
        <v>3</v>
      </c>
      <c r="G24" s="592">
        <v>0.6</v>
      </c>
      <c r="H24" s="593"/>
      <c r="I24" s="529" t="s">
        <v>100</v>
      </c>
      <c r="J24" s="200" t="s">
        <v>103</v>
      </c>
      <c r="K24" s="229">
        <f>161000*12/'Average wages'!B16</f>
        <v>0.38550641420869641</v>
      </c>
      <c r="L24" s="529" t="s">
        <v>1036</v>
      </c>
      <c r="M24" s="38" t="s">
        <v>95</v>
      </c>
      <c r="N24" s="188" t="s">
        <v>95</v>
      </c>
      <c r="O24" s="189" t="s">
        <v>95</v>
      </c>
      <c r="P24" s="36"/>
      <c r="Q24" s="36"/>
    </row>
    <row r="25" spans="1:17" ht="57" x14ac:dyDescent="0.25">
      <c r="A25" s="65" t="s">
        <v>65</v>
      </c>
      <c r="B25" s="238" t="s">
        <v>118</v>
      </c>
      <c r="C25" s="36" t="s">
        <v>97</v>
      </c>
      <c r="D25" s="36" t="s">
        <v>1245</v>
      </c>
      <c r="E25" s="36">
        <v>0</v>
      </c>
      <c r="F25" s="191">
        <v>30</v>
      </c>
      <c r="G25" s="236" t="str">
        <f>"Until day 10: Full flat-rate benefit of ISK 289510 per month ("&amp;TEXT(289510*12/'Average wages'!B17,"0%")&amp;" of AW), From day 11 until month 3: 70% of reference earnings"</f>
        <v>Until day 10: Full flat-rate benefit of ISK 289510 per month (38% of AW), From day 11 until month 3: 70% of reference earnings</v>
      </c>
      <c r="H25" s="239" t="str">
        <f>"From month 4: Full flat-rate benefit of ISK 289510 per month ("&amp;TEXT(289510*12/'Average wages'!B17,"0%")&amp;" of AW)"</f>
        <v>From month 4: Full flat-rate benefit of ISK 289510 per month (38% of AW)</v>
      </c>
      <c r="I25" s="191" t="s">
        <v>100</v>
      </c>
      <c r="J25" s="19" t="str">
        <f>TEXT(289510*12/'Average wages'!B17,"0%")&amp;" (full benefit)"</f>
        <v>38% (full benefit)</v>
      </c>
      <c r="K25" s="19">
        <f>456404*12/'Average wages'!B17</f>
        <v>0.59227727356227911</v>
      </c>
      <c r="L25" s="236" t="s">
        <v>142</v>
      </c>
      <c r="M25" s="35" t="s">
        <v>1246</v>
      </c>
      <c r="N25" s="36" t="s">
        <v>1247</v>
      </c>
      <c r="O25" s="191" t="s">
        <v>95</v>
      </c>
      <c r="P25" s="36"/>
      <c r="Q25" s="36"/>
    </row>
    <row r="26" spans="1:17" ht="79.75" x14ac:dyDescent="0.25">
      <c r="A26" s="65" t="s">
        <v>66</v>
      </c>
      <c r="B26" s="228" t="s">
        <v>119</v>
      </c>
      <c r="C26" s="188" t="s">
        <v>97</v>
      </c>
      <c r="D26" s="188" t="s">
        <v>120</v>
      </c>
      <c r="E26" s="188">
        <v>3</v>
      </c>
      <c r="F26" s="189">
        <v>9</v>
      </c>
      <c r="G26" s="596" t="str">
        <f>"Flat rate depending on average weekly earnings in relevant tax year, for highest income group flat rate of "&amp;TEXT(203*52*100/'Average wages'!B18,0)&amp;"% of AW."</f>
        <v>Flat rate depending on average weekly earnings in relevant tax year, for highest income group flat rate of 23% of AW.</v>
      </c>
      <c r="H26" s="597"/>
      <c r="I26" s="189" t="s">
        <v>95</v>
      </c>
      <c r="J26" s="201">
        <f>91.1*52/'Average wages'!B18</f>
        <v>0.10147143885362854</v>
      </c>
      <c r="K26" s="201">
        <f>203*52/'Average wages'!B18</f>
        <v>0.22611089009096152</v>
      </c>
      <c r="L26" s="529" t="s">
        <v>661</v>
      </c>
      <c r="M26" s="38" t="s">
        <v>95</v>
      </c>
      <c r="N26" s="188" t="s">
        <v>768</v>
      </c>
      <c r="O26" s="189" t="s">
        <v>95</v>
      </c>
      <c r="P26" s="36"/>
      <c r="Q26" s="36"/>
    </row>
    <row r="27" spans="1:17" ht="34.5" x14ac:dyDescent="0.25">
      <c r="A27" s="65" t="s">
        <v>67</v>
      </c>
      <c r="B27" s="235" t="s">
        <v>121</v>
      </c>
      <c r="C27" s="36" t="s">
        <v>97</v>
      </c>
      <c r="D27" s="36" t="s">
        <v>122</v>
      </c>
      <c r="E27" s="36">
        <v>5</v>
      </c>
      <c r="F27" s="191" t="s">
        <v>950</v>
      </c>
      <c r="G27" s="592" t="s">
        <v>951</v>
      </c>
      <c r="H27" s="593"/>
      <c r="I27" s="191" t="s">
        <v>100</v>
      </c>
      <c r="J27" s="19" t="s">
        <v>103</v>
      </c>
      <c r="K27" s="19" t="str">
        <f>""&amp;TEXT(100*422.04*25*12/'Average wages'!B19,0)&amp;"% (based on 25 working days per month)"</f>
        <v>81% (based on 25 working days per month)</v>
      </c>
      <c r="L27" s="236" t="s">
        <v>1001</v>
      </c>
      <c r="M27" s="35" t="s">
        <v>1007</v>
      </c>
      <c r="N27" s="36" t="s">
        <v>1008</v>
      </c>
      <c r="O27" s="191" t="s">
        <v>95</v>
      </c>
      <c r="P27" s="36"/>
      <c r="Q27" s="36"/>
    </row>
    <row r="28" spans="1:17" ht="114" x14ac:dyDescent="0.25">
      <c r="A28" s="65" t="s">
        <v>68</v>
      </c>
      <c r="B28" s="39" t="s">
        <v>739</v>
      </c>
      <c r="C28" s="188" t="s">
        <v>97</v>
      </c>
      <c r="D28" s="188" t="s">
        <v>738</v>
      </c>
      <c r="E28" s="188">
        <v>8</v>
      </c>
      <c r="F28" s="189">
        <v>24</v>
      </c>
      <c r="G28" s="200" t="str">
        <f>"Until month 3: 75% for earnings below EUR 1221 /month ("&amp;TEXT(1221*12/'Average wages'!B20,"0%")&amp;" of AW), plus 25% of the earnings above this threshold"</f>
        <v>Until month 3: 75% for earnings below EUR 1221 /month (48% of AW), plus 25% of the earnings above this threshold</v>
      </c>
      <c r="H28" s="190" t="s">
        <v>752</v>
      </c>
      <c r="I28" s="189" t="s">
        <v>100</v>
      </c>
      <c r="J28" s="201" t="s">
        <v>103</v>
      </c>
      <c r="K28" s="229">
        <f>1335*12/'Average wages'!B20</f>
        <v>0.52988557364101196</v>
      </c>
      <c r="L28" s="200" t="s">
        <v>1037</v>
      </c>
      <c r="M28" s="38" t="s">
        <v>95</v>
      </c>
      <c r="N28" s="188" t="s">
        <v>95</v>
      </c>
      <c r="O28" s="189" t="s">
        <v>95</v>
      </c>
      <c r="P28" s="36"/>
      <c r="Q28" s="36"/>
    </row>
    <row r="29" spans="1:17" ht="161" x14ac:dyDescent="0.25">
      <c r="A29" s="65" t="s">
        <v>69</v>
      </c>
      <c r="B29" s="238" t="s">
        <v>143</v>
      </c>
      <c r="C29" s="36" t="s">
        <v>97</v>
      </c>
      <c r="D29" s="36" t="s">
        <v>1038</v>
      </c>
      <c r="E29" s="36">
        <v>7</v>
      </c>
      <c r="F29" s="191" t="s">
        <v>1039</v>
      </c>
      <c r="G29" s="592" t="s">
        <v>753</v>
      </c>
      <c r="H29" s="593"/>
      <c r="I29" s="191" t="s">
        <v>1040</v>
      </c>
      <c r="J29" s="19">
        <f>0.8*365*2500/'Average wages'!B21</f>
        <v>0.14078583105899939</v>
      </c>
      <c r="K29" s="240">
        <f>0.5*15140*365/'Average wages'!B21</f>
        <v>0.53287437055831266</v>
      </c>
      <c r="L29" s="236" t="s">
        <v>1041</v>
      </c>
      <c r="M29" s="35" t="s">
        <v>764</v>
      </c>
      <c r="N29" s="36" t="s">
        <v>95</v>
      </c>
      <c r="O29" s="191" t="s">
        <v>773</v>
      </c>
      <c r="P29" s="36"/>
      <c r="Q29" s="36"/>
    </row>
    <row r="30" spans="1:17" ht="38.4" customHeight="1" x14ac:dyDescent="0.25">
      <c r="A30" s="65" t="s">
        <v>70</v>
      </c>
      <c r="B30" s="39" t="s">
        <v>1447</v>
      </c>
      <c r="C30" s="188"/>
      <c r="D30" s="188"/>
      <c r="E30" s="188"/>
      <c r="F30" s="189"/>
      <c r="G30" s="598"/>
      <c r="H30" s="599"/>
      <c r="I30" s="189"/>
      <c r="J30" s="201"/>
      <c r="K30" s="201"/>
      <c r="L30" s="200"/>
      <c r="M30" s="38"/>
      <c r="N30" s="188"/>
      <c r="O30" s="189"/>
      <c r="P30" s="36"/>
      <c r="Q30" s="36"/>
    </row>
    <row r="31" spans="1:17" ht="45.65" x14ac:dyDescent="0.25">
      <c r="A31" s="65" t="s">
        <v>85</v>
      </c>
      <c r="B31" s="39" t="s">
        <v>156</v>
      </c>
      <c r="C31" s="188" t="s">
        <v>97</v>
      </c>
      <c r="D31" s="188" t="s">
        <v>579</v>
      </c>
      <c r="E31" s="188">
        <v>0</v>
      </c>
      <c r="F31" s="189">
        <v>8</v>
      </c>
      <c r="G31" s="200" t="s">
        <v>754</v>
      </c>
      <c r="H31" s="190" t="s">
        <v>1248</v>
      </c>
      <c r="I31" s="189" t="s">
        <v>1238</v>
      </c>
      <c r="J31" s="201" t="s">
        <v>103</v>
      </c>
      <c r="K31" s="201">
        <f>62800*0.6/'Average wages'!B23</f>
        <v>2.9180680845778557</v>
      </c>
      <c r="L31" s="200" t="s">
        <v>113</v>
      </c>
      <c r="M31" s="38" t="s">
        <v>1249</v>
      </c>
      <c r="N31" s="188" t="s">
        <v>95</v>
      </c>
      <c r="O31" s="189" t="s">
        <v>95</v>
      </c>
      <c r="P31" s="36"/>
      <c r="Q31" s="36"/>
    </row>
    <row r="32" spans="1:17" ht="46" x14ac:dyDescent="0.25">
      <c r="A32" s="256" t="s">
        <v>86</v>
      </c>
      <c r="B32" s="226" t="s">
        <v>1250</v>
      </c>
      <c r="C32" s="188" t="s">
        <v>97</v>
      </c>
      <c r="D32" s="188" t="s">
        <v>642</v>
      </c>
      <c r="E32" s="188">
        <v>8</v>
      </c>
      <c r="F32" s="189">
        <v>9</v>
      </c>
      <c r="G32" s="529" t="str">
        <f>"Until month 3: Flat rate of EUR 141.25 per month ("&amp;TEXT(0.2327*607*12/'Average wages'!B24,"0%")&amp;" of AW) plus 38.79% of reference earnings"</f>
        <v>Until month 3: Flat rate of EUR 141.25 per month (10% of AW) plus 38.79% of reference earnings</v>
      </c>
      <c r="H32" s="530" t="str">
        <f>"From month 4: Flat rate of EUR 141.25 per month ("&amp;TEXT(0.2327*607*12/'Average wages'!B24,"0%")&amp;" of AW) plus 23.27% of reference earnings"</f>
        <v>From month 4: Flat rate of EUR 141.25 per month (10% of AW) plus 23.27% of reference earnings</v>
      </c>
      <c r="I32" s="189" t="s">
        <v>1238</v>
      </c>
      <c r="J32" s="242">
        <f>0.2327*607*12/'Average wages'!B24</f>
        <v>0.10319228702673423</v>
      </c>
      <c r="K32" s="201">
        <f>760.01*12/'Average wages'!B24</f>
        <v>0.55524092621739551</v>
      </c>
      <c r="L32" s="529" t="s">
        <v>113</v>
      </c>
      <c r="M32" s="38" t="s">
        <v>1251</v>
      </c>
      <c r="N32" s="188" t="s">
        <v>95</v>
      </c>
      <c r="O32" s="189" t="s">
        <v>95</v>
      </c>
      <c r="P32" s="36"/>
      <c r="Q32" s="36"/>
    </row>
    <row r="33" spans="1:17" ht="103.5" x14ac:dyDescent="0.25">
      <c r="A33" s="193" t="s">
        <v>71</v>
      </c>
      <c r="B33" s="40" t="s">
        <v>677</v>
      </c>
      <c r="C33" s="36" t="s">
        <v>97</v>
      </c>
      <c r="D33" s="36" t="s">
        <v>124</v>
      </c>
      <c r="E33" s="36">
        <v>0</v>
      </c>
      <c r="F33" s="191" t="s">
        <v>953</v>
      </c>
      <c r="G33" s="590">
        <v>0.8</v>
      </c>
      <c r="H33" s="591"/>
      <c r="I33" s="191" t="s">
        <v>100</v>
      </c>
      <c r="J33" s="19" t="s">
        <v>103</v>
      </c>
      <c r="K33" s="19">
        <f>(250%*25703.88)/'Average wages'!B25</f>
        <v>1.1071640050856797</v>
      </c>
      <c r="L33" s="37" t="s">
        <v>1002</v>
      </c>
      <c r="M33" s="38" t="s">
        <v>1015</v>
      </c>
      <c r="N33" s="36" t="s">
        <v>769</v>
      </c>
      <c r="O33" s="191" t="s">
        <v>95</v>
      </c>
      <c r="P33" s="36"/>
      <c r="Q33" s="36"/>
    </row>
    <row r="34" spans="1:17" ht="68.400000000000006" x14ac:dyDescent="0.25">
      <c r="A34" s="65" t="s">
        <v>72</v>
      </c>
      <c r="B34" s="226" t="s">
        <v>730</v>
      </c>
      <c r="C34" s="41" t="s">
        <v>97</v>
      </c>
      <c r="D34" s="41" t="s">
        <v>125</v>
      </c>
      <c r="E34" s="41">
        <v>0</v>
      </c>
      <c r="F34" s="42">
        <v>24</v>
      </c>
      <c r="G34" s="529" t="s">
        <v>126</v>
      </c>
      <c r="H34" s="530" t="s">
        <v>127</v>
      </c>
      <c r="I34" s="42" t="s">
        <v>100</v>
      </c>
      <c r="J34" s="227">
        <f>(70%*1653.6*1.08*12)/'Average wages'!B26</f>
        <v>0.27353526517844001</v>
      </c>
      <c r="K34" s="227">
        <f>(214.28*5*52)/'Average wages'!B26</f>
        <v>1.0158622117129374</v>
      </c>
      <c r="L34" s="529" t="s">
        <v>702</v>
      </c>
      <c r="M34" s="228" t="s">
        <v>1016</v>
      </c>
      <c r="N34" s="41" t="s">
        <v>954</v>
      </c>
      <c r="O34" s="42" t="s">
        <v>95</v>
      </c>
      <c r="P34" s="43"/>
      <c r="Q34" s="43"/>
    </row>
    <row r="35" spans="1:17" ht="13.25" x14ac:dyDescent="0.25">
      <c r="A35" s="65" t="s">
        <v>187</v>
      </c>
      <c r="B35" s="226" t="s">
        <v>1275</v>
      </c>
      <c r="C35" s="41"/>
      <c r="D35" s="41"/>
      <c r="E35" s="41"/>
      <c r="F35" s="42"/>
      <c r="G35" s="529"/>
      <c r="H35" s="530"/>
      <c r="I35" s="42"/>
      <c r="J35" s="227"/>
      <c r="K35" s="227"/>
      <c r="L35" s="529"/>
      <c r="M35" s="228"/>
      <c r="N35" s="41"/>
      <c r="O35" s="42"/>
      <c r="P35" s="43"/>
      <c r="Q35" s="43"/>
    </row>
    <row r="36" spans="1:17" ht="69" x14ac:dyDescent="0.25">
      <c r="A36" s="65" t="s">
        <v>73</v>
      </c>
      <c r="B36" s="39" t="s">
        <v>708</v>
      </c>
      <c r="C36" s="188" t="s">
        <v>97</v>
      </c>
      <c r="D36" s="188" t="str">
        <f>"E + C: prior work income of  "&amp;TEXT(100*149787/'Average wages'!B28,0)&amp;"% of AW in preceding calendar year or "&amp;TEXT(100*299574/'Average wages'!B28,0)&amp;"% of AW in 3 preceding years"</f>
        <v>E + C: prior work income of  24% of AW in preceding calendar year or 48% of AW in 3 preceding years</v>
      </c>
      <c r="E36" s="188" t="s">
        <v>128</v>
      </c>
      <c r="F36" s="189">
        <v>24</v>
      </c>
      <c r="G36" s="598">
        <v>0.624</v>
      </c>
      <c r="H36" s="599"/>
      <c r="I36" s="189" t="s">
        <v>100</v>
      </c>
      <c r="J36" s="201" t="s">
        <v>103</v>
      </c>
      <c r="K36" s="201">
        <f>599148*0.624/'Average wages'!B28</f>
        <v>0.5959299694675918</v>
      </c>
      <c r="L36" s="200" t="s">
        <v>1046</v>
      </c>
      <c r="M36" s="38" t="s">
        <v>95</v>
      </c>
      <c r="N36" s="188" t="str">
        <f>CONCATENATE("G: + supplement for each child of ",LEFT(100*85*52/'Average wages'!B28,4),"% of AW.")</f>
        <v>G: + supplement for each child of 0.70% of AW.</v>
      </c>
      <c r="O36" s="189" t="s">
        <v>710</v>
      </c>
      <c r="P36" s="36"/>
      <c r="Q36" s="36"/>
    </row>
    <row r="37" spans="1:17" ht="80.5" x14ac:dyDescent="0.25">
      <c r="A37" s="65" t="s">
        <v>244</v>
      </c>
      <c r="B37" s="238" t="s">
        <v>658</v>
      </c>
      <c r="C37" s="43" t="s">
        <v>97</v>
      </c>
      <c r="D37" s="43" t="s">
        <v>1252</v>
      </c>
      <c r="E37" s="43">
        <v>7</v>
      </c>
      <c r="F37" s="244" t="s">
        <v>1253</v>
      </c>
      <c r="G37" s="236" t="str">
        <f>"Until month 3: Flat rate ot PLN 861.4 per month increased by 20% for 20+ years of contributions ("&amp;TEXT(861.4*1.2*12/'Average wages'!B29,"0%")&amp;" of AW)"</f>
        <v>Until month 3: Flat rate ot PLN 861.4 per month increased by 20% for 20+ years of contributions (20% of AW)</v>
      </c>
      <c r="H37" s="239" t="str">
        <f>"From month 4: Basic rate of PLN 676.4 per month increased by 20% for 20+ years of contributions ("&amp;TEXT(676.4*1.2*12/'Average wages'!B29,"0%")&amp;" of AW)"</f>
        <v>From month 4: Basic rate of PLN 676.4 per month increased by 20% for 20+ years of contributions (16% of AW)</v>
      </c>
      <c r="I37" s="244" t="s">
        <v>95</v>
      </c>
      <c r="J37" s="245">
        <f>676.4*1.2*12/'Average wages'!B29</f>
        <v>0.15989831657047898</v>
      </c>
      <c r="K37" s="245">
        <f>861.4*1.2*12/'Average wages'!B29</f>
        <v>0.20363159357452776</v>
      </c>
      <c r="L37" s="236" t="s">
        <v>1254</v>
      </c>
      <c r="M37" s="235" t="s">
        <v>1255</v>
      </c>
      <c r="N37" s="43" t="s">
        <v>1256</v>
      </c>
      <c r="O37" s="244" t="s">
        <v>1257</v>
      </c>
      <c r="P37" s="43"/>
      <c r="Q37" s="43"/>
    </row>
    <row r="38" spans="1:17" ht="57.5" x14ac:dyDescent="0.25">
      <c r="A38" s="65" t="s">
        <v>74</v>
      </c>
      <c r="B38" s="39" t="s">
        <v>144</v>
      </c>
      <c r="C38" s="188" t="s">
        <v>97</v>
      </c>
      <c r="D38" s="188" t="s">
        <v>129</v>
      </c>
      <c r="E38" s="188">
        <v>0</v>
      </c>
      <c r="F38" s="189">
        <v>24</v>
      </c>
      <c r="G38" s="200">
        <v>0.65</v>
      </c>
      <c r="H38" s="190" t="s">
        <v>95</v>
      </c>
      <c r="I38" s="189" t="s">
        <v>100</v>
      </c>
      <c r="J38" s="201" t="s">
        <v>95</v>
      </c>
      <c r="K38" s="201">
        <f>2.5*438.81*12/'Average wages'!B30</f>
        <v>0.67586323680897242</v>
      </c>
      <c r="L38" s="200" t="s">
        <v>1182</v>
      </c>
      <c r="M38" s="38" t="s">
        <v>1183</v>
      </c>
      <c r="N38" s="188" t="s">
        <v>95</v>
      </c>
      <c r="O38" s="189" t="s">
        <v>95</v>
      </c>
      <c r="P38" s="36"/>
      <c r="Q38" s="36"/>
    </row>
    <row r="39" spans="1:17" ht="34.5" x14ac:dyDescent="0.25">
      <c r="A39" s="65" t="s">
        <v>75</v>
      </c>
      <c r="B39" s="40" t="s">
        <v>1044</v>
      </c>
      <c r="C39" s="36" t="s">
        <v>97</v>
      </c>
      <c r="D39" s="36" t="s">
        <v>1045</v>
      </c>
      <c r="E39" s="36">
        <v>0</v>
      </c>
      <c r="F39" s="191">
        <v>6</v>
      </c>
      <c r="G39" s="598">
        <v>0.5</v>
      </c>
      <c r="H39" s="599"/>
      <c r="I39" s="191" t="s">
        <v>100</v>
      </c>
      <c r="J39" s="19" t="s">
        <v>103</v>
      </c>
      <c r="K39" s="19">
        <f>2026*12*0.5/'Average wages'!B31</f>
        <v>0.92088768936947873</v>
      </c>
      <c r="L39" s="37" t="s">
        <v>758</v>
      </c>
      <c r="M39" s="35" t="s">
        <v>95</v>
      </c>
      <c r="N39" s="36" t="s">
        <v>95</v>
      </c>
      <c r="O39" s="191" t="s">
        <v>95</v>
      </c>
      <c r="P39" s="36"/>
      <c r="Q39" s="36"/>
    </row>
    <row r="40" spans="1:17" ht="103.5" x14ac:dyDescent="0.25">
      <c r="A40" s="65" t="s">
        <v>76</v>
      </c>
      <c r="B40" s="39" t="s">
        <v>587</v>
      </c>
      <c r="C40" s="188" t="s">
        <v>97</v>
      </c>
      <c r="D40" s="188" t="s">
        <v>1042</v>
      </c>
      <c r="E40" s="188">
        <v>0</v>
      </c>
      <c r="F40" s="189">
        <v>9</v>
      </c>
      <c r="G40" s="200" t="s">
        <v>145</v>
      </c>
      <c r="H40" s="190" t="s">
        <v>146</v>
      </c>
      <c r="I40" s="189" t="s">
        <v>100</v>
      </c>
      <c r="J40" s="200">
        <f>350*12/'Average wages'!B32</f>
        <v>0.20563711631996034</v>
      </c>
      <c r="K40" s="190">
        <f>15140*0.5/'Average wages'!B32</f>
        <v>0.37063642155764281</v>
      </c>
      <c r="L40" s="200" t="s">
        <v>1043</v>
      </c>
      <c r="M40" s="38" t="s">
        <v>914</v>
      </c>
      <c r="N40" s="188" t="s">
        <v>95</v>
      </c>
      <c r="O40" s="189" t="s">
        <v>95</v>
      </c>
      <c r="P40" s="36"/>
      <c r="Q40" s="36"/>
    </row>
    <row r="41" spans="1:17" ht="46" x14ac:dyDescent="0.25">
      <c r="A41" s="65" t="s">
        <v>77</v>
      </c>
      <c r="B41" s="40" t="s">
        <v>1201</v>
      </c>
      <c r="C41" s="36" t="s">
        <v>97</v>
      </c>
      <c r="D41" s="36" t="s">
        <v>130</v>
      </c>
      <c r="E41" s="36">
        <v>0</v>
      </c>
      <c r="F41" s="191">
        <v>24</v>
      </c>
      <c r="G41" s="37" t="s">
        <v>147</v>
      </c>
      <c r="H41" s="20" t="s">
        <v>148</v>
      </c>
      <c r="I41" s="191" t="s">
        <v>100</v>
      </c>
      <c r="J41" s="19">
        <v>0.22</v>
      </c>
      <c r="K41" s="19">
        <v>0.49</v>
      </c>
      <c r="L41" s="200" t="s">
        <v>149</v>
      </c>
      <c r="M41" s="35" t="s">
        <v>761</v>
      </c>
      <c r="N41" s="36" t="s">
        <v>131</v>
      </c>
      <c r="O41" s="191" t="s">
        <v>95</v>
      </c>
      <c r="P41" s="36"/>
      <c r="Q41" s="36"/>
    </row>
    <row r="42" spans="1:17" ht="69" x14ac:dyDescent="0.25">
      <c r="A42" s="65" t="s">
        <v>78</v>
      </c>
      <c r="B42" s="226" t="s">
        <v>682</v>
      </c>
      <c r="C42" s="41" t="s">
        <v>108</v>
      </c>
      <c r="D42" s="41" t="s">
        <v>957</v>
      </c>
      <c r="E42" s="41">
        <v>6</v>
      </c>
      <c r="F42" s="42" t="s">
        <v>958</v>
      </c>
      <c r="G42" s="529" t="s">
        <v>683</v>
      </c>
      <c r="H42" s="530" t="s">
        <v>684</v>
      </c>
      <c r="I42" s="42" t="s">
        <v>100</v>
      </c>
      <c r="J42" s="227">
        <f>94900/'Average wages'!B34</f>
        <v>0.20375003422046747</v>
      </c>
      <c r="K42" s="227">
        <f>236600/'Average wages'!B34</f>
        <v>0.50797953737157642</v>
      </c>
      <c r="L42" s="529" t="s">
        <v>132</v>
      </c>
      <c r="M42" s="228" t="s">
        <v>1017</v>
      </c>
      <c r="N42" s="41" t="s">
        <v>1009</v>
      </c>
      <c r="O42" s="42" t="s">
        <v>1010</v>
      </c>
      <c r="P42" s="43"/>
      <c r="Q42" s="43"/>
    </row>
    <row r="43" spans="1:17" ht="92" x14ac:dyDescent="0.25">
      <c r="A43" s="65" t="s">
        <v>79</v>
      </c>
      <c r="B43" s="40" t="s">
        <v>741</v>
      </c>
      <c r="C43" s="36" t="s">
        <v>97</v>
      </c>
      <c r="D43" s="36" t="s">
        <v>133</v>
      </c>
      <c r="E43" s="36" t="s">
        <v>742</v>
      </c>
      <c r="F43" s="191">
        <v>18.399999999999999</v>
      </c>
      <c r="G43" s="598">
        <v>0.7</v>
      </c>
      <c r="H43" s="599"/>
      <c r="I43" s="191" t="s">
        <v>100</v>
      </c>
      <c r="J43" s="19" t="s">
        <v>103</v>
      </c>
      <c r="K43" s="19">
        <f>148200*0.7/'Average wages'!B35</f>
        <v>1.1874611377965363</v>
      </c>
      <c r="L43" s="37" t="s">
        <v>150</v>
      </c>
      <c r="M43" s="35" t="s">
        <v>1011</v>
      </c>
      <c r="N43" s="36" t="s">
        <v>770</v>
      </c>
      <c r="O43" s="191" t="str">
        <f>"G: + replacement rate 80% if low previous earnings or receipt of a disability pension" &amp; CHAR(10) &amp;
"D: + shorter waiting period if recipient had low earnings"</f>
        <v>G: + replacement rate 80% if low previous earnings or receipt of a disability pension
D: + shorter waiting period if recipient had low earnings</v>
      </c>
      <c r="P43" s="36"/>
      <c r="Q43" s="36"/>
    </row>
    <row r="44" spans="1:17" ht="34.5" x14ac:dyDescent="0.25">
      <c r="A44" s="65" t="s">
        <v>80</v>
      </c>
      <c r="B44" s="39" t="s">
        <v>151</v>
      </c>
      <c r="C44" s="188" t="s">
        <v>97</v>
      </c>
      <c r="D44" s="188" t="s">
        <v>134</v>
      </c>
      <c r="E44" s="188">
        <v>0</v>
      </c>
      <c r="F44" s="189">
        <v>10</v>
      </c>
      <c r="G44" s="598">
        <v>0.4</v>
      </c>
      <c r="H44" s="599"/>
      <c r="I44" s="189" t="s">
        <v>100</v>
      </c>
      <c r="J44" s="246">
        <f>1168.2*12/'Average wages'!B36</f>
        <v>0.18753461492153953</v>
      </c>
      <c r="K44" s="229">
        <f>2336.53*12/'Average wages'!B36</f>
        <v>0.37509009912910862</v>
      </c>
      <c r="L44" s="200" t="s">
        <v>123</v>
      </c>
      <c r="M44" s="38" t="s">
        <v>95</v>
      </c>
      <c r="N44" s="188" t="s">
        <v>95</v>
      </c>
      <c r="O44" s="189" t="s">
        <v>95</v>
      </c>
      <c r="P44" s="36"/>
      <c r="Q44" s="36"/>
    </row>
    <row r="45" spans="1:17" ht="36" x14ac:dyDescent="0.25">
      <c r="A45" s="65" t="s">
        <v>81</v>
      </c>
      <c r="B45" s="238" t="s">
        <v>135</v>
      </c>
      <c r="C45" s="43" t="s">
        <v>97</v>
      </c>
      <c r="D45" s="43" t="s">
        <v>1213</v>
      </c>
      <c r="E45" s="43">
        <v>7</v>
      </c>
      <c r="F45" s="244">
        <v>6</v>
      </c>
      <c r="G45" s="592" t="str">
        <f>"Weekly flat rate of GBP 73.10 ("&amp;TEXT(73.1*52*100/'Average wages'!B37,"0.0")&amp;"% of AW)"</f>
        <v>Weekly flat rate of GBP 73.10 (9.1% of AW)</v>
      </c>
      <c r="H45" s="593"/>
      <c r="I45" s="244" t="s">
        <v>95</v>
      </c>
      <c r="J45" s="245" t="s">
        <v>95</v>
      </c>
      <c r="K45" s="239" t="str">
        <f>"Flat rate of "&amp;TEXT(73.1*52/'Average wages'!B37,"0%")</f>
        <v>Flat rate of 9%</v>
      </c>
      <c r="L45" s="236" t="str">
        <f>"GBP 5 ("&amp;TEXT(5*52*100/'Average wages'!B37,"0.0")&amp;"% of AW) are disregarded per week. Earnings  reduce benefit one-for-one above this level. Must be working less than 16 hours a week."</f>
        <v>GBP 5 (0.6% of AW) are disregarded per week. Earnings  reduce benefit one-for-one above this level. Must be working less than 16 hours a week.</v>
      </c>
      <c r="M45" s="235" t="s">
        <v>762</v>
      </c>
      <c r="N45" s="43" t="s">
        <v>95</v>
      </c>
      <c r="O45" s="244" t="s">
        <v>95</v>
      </c>
      <c r="P45" s="43"/>
      <c r="Q45" s="43"/>
    </row>
    <row r="46" spans="1:17" ht="57.5" x14ac:dyDescent="0.25">
      <c r="A46" s="65" t="s">
        <v>1390</v>
      </c>
      <c r="B46" s="39" t="s">
        <v>955</v>
      </c>
      <c r="C46" s="188" t="s">
        <v>97</v>
      </c>
      <c r="D46" s="188" t="s">
        <v>152</v>
      </c>
      <c r="E46" s="188">
        <v>0</v>
      </c>
      <c r="F46" s="189">
        <v>4.5999999999999996</v>
      </c>
      <c r="G46" s="598" t="s">
        <v>755</v>
      </c>
      <c r="H46" s="599"/>
      <c r="I46" s="189" t="s">
        <v>153</v>
      </c>
      <c r="J46" s="201">
        <f>(150*52)/'Average wages'!B38</f>
        <v>0.12952424166383805</v>
      </c>
      <c r="K46" s="201">
        <f>(362*52)/'Average wages'!B38</f>
        <v>0.31258516988206253</v>
      </c>
      <c r="L46" s="200" t="s">
        <v>1003</v>
      </c>
      <c r="M46" s="38" t="s">
        <v>95</v>
      </c>
      <c r="N46" s="247" t="str">
        <f>"G: + weekly lump-sum of USD 6 ("&amp;TEXT(100*6*12/'Average wages'!B38,"0.00")&amp;"% of AW) for each dependent for up to 5 dependents"</f>
        <v>G: + weekly lump-sum of USD 6 (0.12% of AW) for each dependent for up to 5 dependents</v>
      </c>
      <c r="O46" s="189" t="s">
        <v>95</v>
      </c>
      <c r="P46" s="36"/>
      <c r="Q46" s="36"/>
    </row>
    <row r="47" spans="1:17" x14ac:dyDescent="0.25">
      <c r="A47" s="21" t="s">
        <v>1149</v>
      </c>
      <c r="B47" s="33"/>
      <c r="C47" s="29"/>
      <c r="D47" s="29"/>
      <c r="E47" s="29"/>
      <c r="F47" s="34"/>
      <c r="G47" s="33"/>
      <c r="H47" s="34"/>
      <c r="I47" s="34"/>
      <c r="J47" s="29"/>
      <c r="K47" s="29"/>
      <c r="L47" s="193"/>
      <c r="M47" s="33"/>
      <c r="N47" s="29"/>
      <c r="O47" s="34"/>
      <c r="P47" s="29"/>
      <c r="Q47" s="29"/>
    </row>
    <row r="48" spans="1:17" ht="36" x14ac:dyDescent="0.25">
      <c r="A48" s="256" t="s">
        <v>83</v>
      </c>
      <c r="B48" s="226" t="s">
        <v>154</v>
      </c>
      <c r="C48" s="248" t="s">
        <v>97</v>
      </c>
      <c r="D48" s="41" t="s">
        <v>1047</v>
      </c>
      <c r="E48" s="41">
        <v>0</v>
      </c>
      <c r="F48" s="42">
        <v>12</v>
      </c>
      <c r="G48" s="592">
        <v>0.6</v>
      </c>
      <c r="H48" s="593"/>
      <c r="I48" s="249" t="s">
        <v>100</v>
      </c>
      <c r="J48" s="227">
        <f>9*5*52/'Average wages'!B40</f>
        <v>0.14538522469635334</v>
      </c>
      <c r="K48" s="250">
        <f>74.29*5*52/'Average wages'!B40</f>
        <v>1.2000742602991212</v>
      </c>
      <c r="L48" s="529" t="s">
        <v>759</v>
      </c>
      <c r="M48" s="228" t="s">
        <v>95</v>
      </c>
      <c r="N48" s="41" t="s">
        <v>95</v>
      </c>
      <c r="O48" s="42" t="s">
        <v>95</v>
      </c>
      <c r="P48" s="43"/>
      <c r="Q48" s="43"/>
    </row>
    <row r="49" spans="1:17" ht="69" x14ac:dyDescent="0.25">
      <c r="A49" s="65" t="s">
        <v>84</v>
      </c>
      <c r="B49" s="39" t="s">
        <v>155</v>
      </c>
      <c r="C49" s="188" t="s">
        <v>1258</v>
      </c>
      <c r="D49" s="188" t="s">
        <v>1259</v>
      </c>
      <c r="E49" s="188">
        <v>0</v>
      </c>
      <c r="F49" s="189">
        <f>420/30</f>
        <v>14</v>
      </c>
      <c r="G49" s="200" t="s">
        <v>618</v>
      </c>
      <c r="H49" s="190" t="s">
        <v>619</v>
      </c>
      <c r="I49" s="189" t="s">
        <v>100</v>
      </c>
      <c r="J49" s="201">
        <f>4062.51*0.8*0.5*12/'Average wages'!B41</f>
        <v>0.18838020472228811</v>
      </c>
      <c r="K49" s="201" t="str">
        <f>"Until day 90: "&amp;TEXT(6457*0.7*12/'Average wages'!B41,"0%")&amp;"; From day 91: "&amp;TEXT(6457*0.35*12/'Average wages'!B41,"0%")</f>
        <v>Until day 90: 52%; From day 91: 26%</v>
      </c>
      <c r="L49" s="200" t="s">
        <v>1260</v>
      </c>
      <c r="M49" s="35" t="s">
        <v>765</v>
      </c>
      <c r="N49" s="188" t="s">
        <v>95</v>
      </c>
      <c r="O49" s="189" t="s">
        <v>95</v>
      </c>
      <c r="P49" s="36"/>
      <c r="Q49" s="36"/>
    </row>
    <row r="50" spans="1:17" s="251" customFormat="1" ht="69" x14ac:dyDescent="0.25">
      <c r="A50" s="65" t="s">
        <v>585</v>
      </c>
      <c r="B50" s="39" t="s">
        <v>638</v>
      </c>
      <c r="C50" s="188" t="s">
        <v>97</v>
      </c>
      <c r="D50" s="188" t="s">
        <v>1261</v>
      </c>
      <c r="E50" s="188">
        <v>3</v>
      </c>
      <c r="F50" s="189">
        <v>6</v>
      </c>
      <c r="G50" s="598" t="s">
        <v>756</v>
      </c>
      <c r="H50" s="599"/>
      <c r="I50" s="189" t="s">
        <v>757</v>
      </c>
      <c r="J50" s="201">
        <f>9106*0.6/'Average wages'!B42</f>
        <v>0.23587787991507589</v>
      </c>
      <c r="K50" s="201">
        <f>9106*1.6/'Average wages'!B42</f>
        <v>0.62900767977353578</v>
      </c>
      <c r="L50" s="200" t="str">
        <f>"Earnings below EUR 381 per month permitted ("&amp;TEXT(381*12/'Average wages'!B42,"0%")&amp;" of AW) but only if a person works outside normal working hours"</f>
        <v>Earnings below EUR 381 per month permitted (20% of AW) but only if a person works outside normal working hours</v>
      </c>
      <c r="M50" s="38" t="s">
        <v>95</v>
      </c>
      <c r="N50" s="188" t="s">
        <v>1262</v>
      </c>
      <c r="O50" s="189" t="s">
        <v>95</v>
      </c>
      <c r="P50" s="70"/>
      <c r="Q50" s="70"/>
    </row>
    <row r="51" spans="1:17" ht="92" x14ac:dyDescent="0.25">
      <c r="A51" s="65" t="s">
        <v>1391</v>
      </c>
      <c r="B51" s="228" t="s">
        <v>578</v>
      </c>
      <c r="C51" s="41" t="s">
        <v>97</v>
      </c>
      <c r="D51" s="41" t="s">
        <v>137</v>
      </c>
      <c r="E51" s="41">
        <v>0</v>
      </c>
      <c r="F51" s="42" t="s">
        <v>1048</v>
      </c>
      <c r="G51" s="596" t="str">
        <f>"Flat rate of EUR 8.13/day for single persons without partner or children ("&amp;TEXT(8.13*5*52/'Average wages'!B43,"0%")&amp;" of AW). Low-income households may be eligibile for the Special Unemployument Benefit (SUB), which provides a flat rate of EUR 14.25/day for single persons without partner or children ("&amp;TEXT(14.25*5*52/'Average wages'!B43,"0%")&amp;" of AW). The two benefit programmes cannot be cumulated."</f>
        <v>Flat rate of EUR 8.13/day for single persons without partner or children (8% of AW). Low-income households may be eligibile for the Special Unemployument Benefit (SUB), which provides a flat rate of EUR 14.25/day for single persons without partner or children (14% of AW). The two benefit programmes cannot be cumulated.</v>
      </c>
      <c r="H51" s="597"/>
      <c r="I51" s="42" t="s">
        <v>1049</v>
      </c>
      <c r="J51" s="227" t="s">
        <v>95</v>
      </c>
      <c r="K51" s="252" t="s">
        <v>623</v>
      </c>
      <c r="L51" s="529" t="s">
        <v>1050</v>
      </c>
      <c r="M51" s="228" t="s">
        <v>95</v>
      </c>
      <c r="N51" s="41" t="s">
        <v>771</v>
      </c>
      <c r="O51" s="42" t="s">
        <v>95</v>
      </c>
      <c r="P51" s="43"/>
      <c r="Q51" s="43"/>
    </row>
    <row r="52" spans="1:17" ht="149.5" x14ac:dyDescent="0.25">
      <c r="A52" s="256" t="s">
        <v>87</v>
      </c>
      <c r="B52" s="226" t="s">
        <v>157</v>
      </c>
      <c r="C52" s="41" t="s">
        <v>97</v>
      </c>
      <c r="D52" s="41" t="s">
        <v>138</v>
      </c>
      <c r="E52" s="41">
        <v>0</v>
      </c>
      <c r="F52" s="42">
        <v>12</v>
      </c>
      <c r="G52" s="596" t="str">
        <f>"Basic/flat rate equal to "&amp;TEXT(0.75*500*12/'Average wages'!B44,"0%")&amp;" of AW, plus a % of the reference earnings that depends of the years of contributions. Entitlements are indipendent of the UI duration."</f>
        <v>Basic/flat rate equal to 7% of AW, plus a % of the reference earnings that depends of the years of contributions. Entitlements are indipendent of the UI duration.</v>
      </c>
      <c r="H52" s="597"/>
      <c r="I52" s="42" t="s">
        <v>100</v>
      </c>
      <c r="J52" s="242">
        <f>0.75*500*12/'Average wages'!B44</f>
        <v>6.907349419782649E-2</v>
      </c>
      <c r="K52" s="250" t="s">
        <v>103</v>
      </c>
      <c r="L52" s="529" t="s">
        <v>760</v>
      </c>
      <c r="M52" s="228" t="s">
        <v>1051</v>
      </c>
      <c r="N52" s="41" t="s">
        <v>95</v>
      </c>
      <c r="O52" s="42" t="s">
        <v>95</v>
      </c>
      <c r="P52" s="43"/>
      <c r="Q52" s="43"/>
    </row>
    <row r="53" spans="1:17" x14ac:dyDescent="0.25">
      <c r="A53" s="29"/>
      <c r="B53" s="29"/>
      <c r="C53" s="29"/>
      <c r="D53" s="29"/>
      <c r="E53" s="29"/>
      <c r="F53" s="29"/>
      <c r="G53" s="29"/>
      <c r="H53" s="29"/>
      <c r="I53" s="29"/>
      <c r="J53" s="29"/>
      <c r="K53" s="29"/>
      <c r="L53" s="29"/>
      <c r="M53" s="29"/>
      <c r="N53" s="29"/>
      <c r="O53" s="29"/>
      <c r="P53" s="29"/>
      <c r="Q53" s="29"/>
    </row>
    <row r="54" spans="1:17" ht="13" x14ac:dyDescent="0.3">
      <c r="A54" s="30" t="s">
        <v>88</v>
      </c>
      <c r="B54" s="29"/>
      <c r="C54" s="29"/>
      <c r="D54" s="29"/>
      <c r="E54" s="29"/>
      <c r="F54" s="29"/>
      <c r="G54" s="29"/>
      <c r="H54" s="29"/>
      <c r="I54" s="29"/>
      <c r="J54" s="29"/>
      <c r="K54" s="29"/>
      <c r="L54" s="29"/>
      <c r="M54" s="29"/>
      <c r="N54" s="29"/>
      <c r="O54" s="29"/>
      <c r="P54" s="29"/>
      <c r="Q54" s="29"/>
    </row>
    <row r="55" spans="1:17" x14ac:dyDescent="0.25">
      <c r="A55" s="29" t="s">
        <v>89</v>
      </c>
      <c r="B55" s="29"/>
      <c r="C55" s="29"/>
      <c r="D55" s="29"/>
      <c r="E55" s="29"/>
      <c r="F55" s="29"/>
      <c r="G55" s="29"/>
      <c r="H55" s="29"/>
      <c r="I55" s="29"/>
      <c r="J55" s="29"/>
      <c r="K55" s="29"/>
      <c r="L55" s="29"/>
      <c r="M55" s="29"/>
      <c r="N55" s="29"/>
      <c r="O55" s="29"/>
      <c r="P55" s="29"/>
      <c r="Q55" s="29"/>
    </row>
    <row r="56" spans="1:17" x14ac:dyDescent="0.25">
      <c r="A56" s="29" t="s">
        <v>90</v>
      </c>
      <c r="B56" s="29"/>
      <c r="C56" s="29"/>
      <c r="D56" s="29"/>
      <c r="E56" s="29"/>
      <c r="F56" s="29"/>
      <c r="G56" s="29"/>
      <c r="H56" s="29"/>
      <c r="I56" s="29"/>
      <c r="J56" s="29"/>
      <c r="K56" s="29"/>
      <c r="L56" s="29"/>
      <c r="M56" s="29"/>
      <c r="N56" s="29"/>
      <c r="O56" s="29"/>
      <c r="P56" s="29"/>
      <c r="Q56" s="29"/>
    </row>
    <row r="57" spans="1:17" x14ac:dyDescent="0.25">
      <c r="A57" s="29" t="s">
        <v>1387</v>
      </c>
      <c r="B57" s="29"/>
      <c r="C57" s="29"/>
      <c r="D57" s="29"/>
      <c r="E57" s="29"/>
      <c r="F57" s="29"/>
      <c r="G57" s="29"/>
      <c r="H57" s="29"/>
      <c r="I57" s="29"/>
      <c r="J57" s="29"/>
      <c r="K57" s="29"/>
      <c r="L57" s="29"/>
      <c r="M57" s="29"/>
      <c r="N57" s="29"/>
      <c r="O57" s="29"/>
      <c r="P57" s="29"/>
      <c r="Q57" s="29"/>
    </row>
    <row r="58" spans="1:17" x14ac:dyDescent="0.25">
      <c r="A58" s="29" t="s">
        <v>1388</v>
      </c>
      <c r="B58" s="29"/>
      <c r="C58" s="29"/>
      <c r="D58" s="29"/>
      <c r="E58" s="29"/>
      <c r="F58" s="29"/>
      <c r="G58" s="29"/>
      <c r="H58" s="29"/>
      <c r="I58" s="29"/>
      <c r="J58" s="29"/>
      <c r="K58" s="29"/>
      <c r="L58" s="29"/>
      <c r="M58" s="29"/>
      <c r="N58" s="29"/>
      <c r="O58" s="29"/>
      <c r="P58" s="29"/>
      <c r="Q58" s="29"/>
    </row>
    <row r="59" spans="1:17" x14ac:dyDescent="0.25">
      <c r="A59" s="29" t="s">
        <v>952</v>
      </c>
      <c r="B59" s="29"/>
      <c r="C59" s="29"/>
      <c r="D59" s="29"/>
      <c r="E59" s="29"/>
      <c r="F59" s="29"/>
      <c r="G59" s="29"/>
      <c r="H59" s="29"/>
      <c r="I59" s="29"/>
      <c r="J59" s="29"/>
      <c r="K59" s="29"/>
      <c r="L59" s="29"/>
      <c r="M59" s="29"/>
      <c r="N59" s="29"/>
      <c r="O59" s="29"/>
      <c r="P59" s="29"/>
      <c r="Q59" s="29"/>
    </row>
    <row r="60" spans="1:17" x14ac:dyDescent="0.25">
      <c r="A60" s="29" t="s">
        <v>1430</v>
      </c>
      <c r="B60" s="24"/>
      <c r="C60" s="24"/>
      <c r="D60" s="29"/>
      <c r="E60" s="29"/>
      <c r="F60" s="29"/>
      <c r="G60" s="29"/>
      <c r="H60" s="29"/>
      <c r="I60" s="29"/>
      <c r="J60" s="27"/>
      <c r="K60" s="27"/>
      <c r="L60" s="27"/>
      <c r="M60" s="27"/>
      <c r="N60" s="27"/>
      <c r="O60" s="27"/>
      <c r="P60" s="27"/>
      <c r="Q60" s="27"/>
    </row>
    <row r="61" spans="1:17" x14ac:dyDescent="0.25">
      <c r="A61" s="29" t="s">
        <v>1392</v>
      </c>
      <c r="B61" s="29"/>
      <c r="C61" s="29"/>
      <c r="D61" s="29"/>
      <c r="E61" s="29"/>
      <c r="F61" s="29"/>
      <c r="G61" s="29"/>
      <c r="H61" s="29"/>
      <c r="I61" s="29"/>
      <c r="J61" s="29"/>
      <c r="K61" s="29"/>
      <c r="L61" s="29"/>
      <c r="M61" s="29"/>
      <c r="N61" s="29"/>
      <c r="O61" s="29"/>
      <c r="P61" s="29"/>
      <c r="Q61" s="29"/>
    </row>
    <row r="62" spans="1:17" x14ac:dyDescent="0.25">
      <c r="A62" s="24"/>
      <c r="C62" s="26"/>
      <c r="D62" s="556"/>
      <c r="E62" s="556"/>
      <c r="F62" s="556"/>
      <c r="G62" s="556"/>
      <c r="H62" s="556"/>
      <c r="I62" s="556"/>
      <c r="J62" s="556"/>
      <c r="K62" s="556"/>
      <c r="L62" s="556"/>
      <c r="M62" s="556"/>
      <c r="N62" s="556"/>
      <c r="O62" s="556"/>
      <c r="P62" s="556"/>
      <c r="Q62" s="556"/>
    </row>
    <row r="63" spans="1:17" x14ac:dyDescent="0.25">
      <c r="A63" s="32" t="s">
        <v>139</v>
      </c>
      <c r="B63" s="253" t="s">
        <v>6</v>
      </c>
    </row>
  </sheetData>
  <autoFilter ref="A11:A52"/>
  <mergeCells count="37">
    <mergeCell ref="G48:H48"/>
    <mergeCell ref="G51:H51"/>
    <mergeCell ref="G52:H52"/>
    <mergeCell ref="G36:H36"/>
    <mergeCell ref="G39:H39"/>
    <mergeCell ref="G43:H43"/>
    <mergeCell ref="G44:H44"/>
    <mergeCell ref="G45:H45"/>
    <mergeCell ref="G46:H46"/>
    <mergeCell ref="G50:H50"/>
    <mergeCell ref="G33:H33"/>
    <mergeCell ref="G13:H13"/>
    <mergeCell ref="G15:H15"/>
    <mergeCell ref="G18:H18"/>
    <mergeCell ref="G20:H20"/>
    <mergeCell ref="G21:H21"/>
    <mergeCell ref="G22:H22"/>
    <mergeCell ref="G23:H23"/>
    <mergeCell ref="G24:H24"/>
    <mergeCell ref="G26:H26"/>
    <mergeCell ref="G29:H29"/>
    <mergeCell ref="G30:H30"/>
    <mergeCell ref="G27:H27"/>
    <mergeCell ref="A1:O1"/>
    <mergeCell ref="A2:O2"/>
    <mergeCell ref="A3:O3"/>
    <mergeCell ref="B7:B9"/>
    <mergeCell ref="C7:C9"/>
    <mergeCell ref="D7:D9"/>
    <mergeCell ref="E7:E9"/>
    <mergeCell ref="F7:F9"/>
    <mergeCell ref="G7:L7"/>
    <mergeCell ref="M7:O8"/>
    <mergeCell ref="G8:G9"/>
    <mergeCell ref="H8:H9"/>
    <mergeCell ref="I8:I9"/>
    <mergeCell ref="L8:L9"/>
  </mergeCells>
  <hyperlinks>
    <hyperlink ref="B63" r:id="rId1"/>
  </hyperlinks>
  <pageMargins left="0.7" right="0.7" top="0.75" bottom="0.75" header="0.3" footer="0.3"/>
  <pageSetup paperSize="9" orientation="portrait"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P67"/>
  <sheetViews>
    <sheetView zoomScale="70" zoomScaleNormal="70" workbookViewId="0">
      <pane xSplit="1" ySplit="10" topLeftCell="B11" activePane="bottomRight" state="frozen"/>
      <selection pane="topRight" activeCell="B1" sqref="B1"/>
      <selection pane="bottomLeft" activeCell="A11" sqref="A11"/>
      <selection pane="bottomRight" sqref="A1:N1"/>
    </sheetView>
  </sheetViews>
  <sheetFormatPr defaultColWidth="8.6328125" defaultRowHeight="12.5" x14ac:dyDescent="0.25"/>
  <cols>
    <col min="1" max="1" width="18.90625" style="23" customWidth="1"/>
    <col min="2" max="2" width="33" style="23" bestFit="1" customWidth="1"/>
    <col min="3" max="3" width="26.08984375" style="23" customWidth="1"/>
    <col min="4" max="4" width="14.453125" style="23" customWidth="1"/>
    <col min="5" max="5" width="17.08984375" style="23" customWidth="1"/>
    <col min="6" max="6" width="15.453125" style="23" customWidth="1"/>
    <col min="7" max="7" width="20.453125" style="23" customWidth="1"/>
    <col min="8" max="8" width="11.453125" style="23" customWidth="1"/>
    <col min="9" max="10" width="14.08984375" style="23" customWidth="1"/>
    <col min="11" max="11" width="42" style="23" customWidth="1"/>
    <col min="12" max="12" width="15.08984375" style="23" bestFit="1" customWidth="1"/>
    <col min="13" max="13" width="16.54296875" style="23" bestFit="1" customWidth="1"/>
    <col min="14" max="14" width="16.08984375" style="23" bestFit="1" customWidth="1"/>
    <col min="15" max="16384" width="8.6328125" style="23"/>
  </cols>
  <sheetData>
    <row r="1" spans="1:16" ht="17.399999999999999" x14ac:dyDescent="0.3">
      <c r="A1" s="579" t="s">
        <v>190</v>
      </c>
      <c r="B1" s="580"/>
      <c r="C1" s="580"/>
      <c r="D1" s="580"/>
      <c r="E1" s="580"/>
      <c r="F1" s="580"/>
      <c r="G1" s="580"/>
      <c r="H1" s="580"/>
      <c r="I1" s="580"/>
      <c r="J1" s="580"/>
      <c r="K1" s="580"/>
      <c r="L1" s="580"/>
      <c r="M1" s="580"/>
      <c r="N1" s="580"/>
      <c r="O1" s="516"/>
      <c r="P1" s="516"/>
    </row>
    <row r="2" spans="1:16" ht="17.399999999999999" x14ac:dyDescent="0.3">
      <c r="A2" s="579">
        <v>2020</v>
      </c>
      <c r="B2" s="579"/>
      <c r="C2" s="579"/>
      <c r="D2" s="579"/>
      <c r="E2" s="579"/>
      <c r="F2" s="579"/>
      <c r="G2" s="579"/>
      <c r="H2" s="579"/>
      <c r="I2" s="579"/>
      <c r="J2" s="579"/>
      <c r="K2" s="579"/>
      <c r="L2" s="579"/>
      <c r="M2" s="579"/>
      <c r="N2" s="579"/>
      <c r="O2" s="515"/>
      <c r="P2" s="515"/>
    </row>
    <row r="3" spans="1:16" ht="14.4" customHeight="1" x14ac:dyDescent="0.25">
      <c r="A3" s="581" t="s">
        <v>1394</v>
      </c>
      <c r="B3" s="581"/>
      <c r="C3" s="581"/>
      <c r="D3" s="581"/>
      <c r="E3" s="581"/>
      <c r="F3" s="581"/>
      <c r="G3" s="581"/>
      <c r="H3" s="581"/>
      <c r="I3" s="581"/>
      <c r="J3" s="581"/>
      <c r="K3" s="581"/>
      <c r="L3" s="581"/>
      <c r="M3" s="581"/>
      <c r="N3" s="581"/>
      <c r="O3" s="517"/>
      <c r="P3" s="517"/>
    </row>
    <row r="4" spans="1:16" ht="14.4" customHeight="1" x14ac:dyDescent="0.25"/>
    <row r="5" spans="1:16" ht="14.4" hidden="1" customHeight="1" x14ac:dyDescent="0.25">
      <c r="A5" s="28" t="s">
        <v>5</v>
      </c>
      <c r="B5" s="28" t="s">
        <v>8</v>
      </c>
      <c r="C5" s="28" t="s">
        <v>8</v>
      </c>
      <c r="D5" s="28" t="s">
        <v>8</v>
      </c>
      <c r="E5" s="28" t="s">
        <v>8</v>
      </c>
      <c r="F5" s="28" t="s">
        <v>8</v>
      </c>
      <c r="G5" s="28" t="s">
        <v>8</v>
      </c>
      <c r="H5" s="28" t="s">
        <v>8</v>
      </c>
      <c r="I5" s="28" t="s">
        <v>9</v>
      </c>
      <c r="J5" s="28" t="s">
        <v>9</v>
      </c>
      <c r="K5" s="28" t="s">
        <v>8</v>
      </c>
      <c r="L5" s="28" t="s">
        <v>8</v>
      </c>
      <c r="M5" s="28" t="s">
        <v>8</v>
      </c>
      <c r="N5" s="28" t="s">
        <v>8</v>
      </c>
    </row>
    <row r="6" spans="1:16" ht="14.4" hidden="1" customHeight="1" x14ac:dyDescent="0.25">
      <c r="A6" s="7" t="s">
        <v>10</v>
      </c>
      <c r="B6" s="50" t="s">
        <v>160</v>
      </c>
      <c r="C6" s="9" t="s">
        <v>161</v>
      </c>
      <c r="D6" s="9" t="s">
        <v>162</v>
      </c>
      <c r="E6" s="9" t="s">
        <v>163</v>
      </c>
      <c r="F6" s="9" t="s">
        <v>164</v>
      </c>
      <c r="G6" s="11" t="s">
        <v>165</v>
      </c>
      <c r="H6" s="11" t="s">
        <v>166</v>
      </c>
      <c r="I6" s="11" t="s">
        <v>167</v>
      </c>
      <c r="J6" s="11" t="s">
        <v>168</v>
      </c>
      <c r="K6" s="11" t="s">
        <v>169</v>
      </c>
      <c r="L6" s="11" t="s">
        <v>170</v>
      </c>
      <c r="M6" s="11" t="s">
        <v>171</v>
      </c>
      <c r="N6" s="11" t="s">
        <v>172</v>
      </c>
    </row>
    <row r="7" spans="1:16" ht="20.399999999999999" customHeight="1" x14ac:dyDescent="0.25">
      <c r="A7" s="157"/>
      <c r="B7" s="582" t="s">
        <v>25</v>
      </c>
      <c r="C7" s="584" t="s">
        <v>174</v>
      </c>
      <c r="D7" s="584" t="s">
        <v>27</v>
      </c>
      <c r="E7" s="586" t="s">
        <v>28</v>
      </c>
      <c r="F7" s="588" t="s">
        <v>29</v>
      </c>
      <c r="G7" s="589"/>
      <c r="H7" s="589"/>
      <c r="I7" s="589"/>
      <c r="J7" s="589"/>
      <c r="K7" s="589"/>
      <c r="L7" s="582" t="s">
        <v>1004</v>
      </c>
      <c r="M7" s="584"/>
      <c r="N7" s="586"/>
    </row>
    <row r="8" spans="1:16" ht="20.399999999999999" customHeight="1" x14ac:dyDescent="0.25">
      <c r="A8" s="34"/>
      <c r="B8" s="583"/>
      <c r="C8" s="585"/>
      <c r="D8" s="585"/>
      <c r="E8" s="587"/>
      <c r="F8" s="582" t="s">
        <v>176</v>
      </c>
      <c r="G8" s="584" t="s">
        <v>177</v>
      </c>
      <c r="H8" s="586" t="s">
        <v>1395</v>
      </c>
      <c r="I8" s="522" t="s">
        <v>32</v>
      </c>
      <c r="J8" s="12" t="s">
        <v>33</v>
      </c>
      <c r="K8" s="582" t="s">
        <v>34</v>
      </c>
      <c r="L8" s="583"/>
      <c r="M8" s="585"/>
      <c r="N8" s="587"/>
    </row>
    <row r="9" spans="1:16" ht="20.399999999999999" customHeight="1" x14ac:dyDescent="0.25">
      <c r="A9" s="34"/>
      <c r="B9" s="583"/>
      <c r="C9" s="585"/>
      <c r="D9" s="585"/>
      <c r="E9" s="587"/>
      <c r="F9" s="583"/>
      <c r="G9" s="585"/>
      <c r="H9" s="587"/>
      <c r="I9" s="195" t="s">
        <v>35</v>
      </c>
      <c r="J9" s="521" t="s">
        <v>35</v>
      </c>
      <c r="K9" s="583"/>
      <c r="L9" s="195" t="s">
        <v>36</v>
      </c>
      <c r="M9" s="521" t="s">
        <v>37</v>
      </c>
      <c r="N9" s="195" t="s">
        <v>38</v>
      </c>
    </row>
    <row r="10" spans="1:16" ht="13.25" x14ac:dyDescent="0.25">
      <c r="A10" s="64"/>
      <c r="B10" s="542" t="s">
        <v>39</v>
      </c>
      <c r="C10" s="543" t="s">
        <v>40</v>
      </c>
      <c r="D10" s="543" t="s">
        <v>41</v>
      </c>
      <c r="E10" s="544" t="s">
        <v>42</v>
      </c>
      <c r="F10" s="542" t="s">
        <v>43</v>
      </c>
      <c r="G10" s="543" t="s">
        <v>44</v>
      </c>
      <c r="H10" s="543" t="s">
        <v>45</v>
      </c>
      <c r="I10" s="14" t="s">
        <v>46</v>
      </c>
      <c r="J10" s="14" t="s">
        <v>47</v>
      </c>
      <c r="K10" s="542" t="s">
        <v>48</v>
      </c>
      <c r="L10" s="14" t="s">
        <v>49</v>
      </c>
      <c r="M10" s="14" t="s">
        <v>50</v>
      </c>
      <c r="N10" s="14" t="s">
        <v>51</v>
      </c>
    </row>
    <row r="11" spans="1:16" ht="13.25" x14ac:dyDescent="0.25">
      <c r="A11" s="51" t="s">
        <v>53</v>
      </c>
      <c r="B11" s="45"/>
      <c r="C11" s="46"/>
      <c r="D11" s="46"/>
      <c r="E11" s="47"/>
      <c r="F11" s="45"/>
      <c r="G11" s="46"/>
      <c r="H11" s="48"/>
      <c r="I11" s="45"/>
      <c r="J11" s="47"/>
      <c r="K11" s="46"/>
      <c r="L11" s="45"/>
      <c r="M11" s="46"/>
      <c r="N11" s="49"/>
    </row>
    <row r="12" spans="1:16" ht="136.75" x14ac:dyDescent="0.25">
      <c r="A12" s="18" t="s">
        <v>178</v>
      </c>
      <c r="B12" s="38" t="s">
        <v>774</v>
      </c>
      <c r="C12" s="188" t="s">
        <v>95</v>
      </c>
      <c r="D12" s="188">
        <v>7</v>
      </c>
      <c r="E12" s="189" t="s">
        <v>179</v>
      </c>
      <c r="F12" s="598" t="str">
        <f>"Flat rate of AUD 1,211.17/month ("&amp;TEXT(1211.17*12/'Average wages'!B4,"0%")&amp;" of AW) plus energy supplement of AUD 19.07/month."</f>
        <v>Flat rate of AUD 1,211.17/month (16% of AW) plus energy supplement of AUD 19.07/month.</v>
      </c>
      <c r="G12" s="600"/>
      <c r="H12" s="188" t="s">
        <v>95</v>
      </c>
      <c r="I12" s="200" t="s">
        <v>95</v>
      </c>
      <c r="J12" s="190" t="str">
        <f>"Flat rate of "&amp;TEXT((1211.17+19.07)*12/'Average wages'!B4,"0%")&amp;" of AW including energy supplement"</f>
        <v>Flat rate of 16% of AW including energy supplement</v>
      </c>
      <c r="K12" s="201" t="str">
        <f>"Income disregard of AUD 104 per fortnight ("&amp;TEXT(104*26/'Average wages'!B4,"0%")&amp;" of AW), 50% withdrawal beyond this point up to AUD 254 ("&amp;TEXT(254*26/'Average wages'!B4,"0%")&amp;" of AW), 60% withdrawal rate thereafter "</f>
        <v xml:space="preserve">Income disregard of AUD 104 per fortnight (3% of AW), 50% withdrawal beyond this point up to AUD 254 (7% of AW), 60% withdrawal rate thereafter </v>
      </c>
      <c r="L12" s="257" t="s">
        <v>728</v>
      </c>
      <c r="M12" s="52" t="s">
        <v>782</v>
      </c>
      <c r="N12" s="53" t="s">
        <v>95</v>
      </c>
    </row>
    <row r="13" spans="1:16" ht="69" x14ac:dyDescent="0.25">
      <c r="A13" s="18" t="s">
        <v>54</v>
      </c>
      <c r="B13" s="39" t="s">
        <v>610</v>
      </c>
      <c r="C13" s="188" t="s">
        <v>611</v>
      </c>
      <c r="D13" s="188">
        <v>0</v>
      </c>
      <c r="E13" s="189" t="s">
        <v>179</v>
      </c>
      <c r="F13" s="201">
        <v>0.92</v>
      </c>
      <c r="G13" s="201">
        <v>0.92</v>
      </c>
      <c r="H13" s="188" t="s">
        <v>612</v>
      </c>
      <c r="I13" s="200" t="s">
        <v>95</v>
      </c>
      <c r="J13" s="190">
        <v>0.39</v>
      </c>
      <c r="K13" s="201" t="str">
        <f>"No reduction for earnings up to EUR 460.66 per month ("&amp;TEXT(100*460.66*12/'Average wages'!B5,0)&amp;"% of AW, Geringfügigkeitsgrenze 2020), benefit fully withdrawn if earnings exceed this level"</f>
        <v>No reduction for earnings up to EUR 460.66 per month (11% of AW, Geringfügigkeitsgrenze 2020), benefit fully withdrawn if earnings exceed this level</v>
      </c>
      <c r="L13" s="257"/>
      <c r="M13" s="52" t="s">
        <v>1153</v>
      </c>
      <c r="N13" s="53" t="s">
        <v>613</v>
      </c>
    </row>
    <row r="14" spans="1:16" ht="13.25" x14ac:dyDescent="0.25">
      <c r="A14" s="18" t="s">
        <v>240</v>
      </c>
      <c r="B14" s="39" t="s">
        <v>1275</v>
      </c>
      <c r="C14" s="188"/>
      <c r="D14" s="188"/>
      <c r="E14" s="189"/>
      <c r="F14" s="201"/>
      <c r="G14" s="201"/>
      <c r="H14" s="188"/>
      <c r="I14" s="200"/>
      <c r="J14" s="190"/>
      <c r="K14" s="201"/>
      <c r="L14" s="257"/>
      <c r="M14" s="52"/>
      <c r="N14" s="53"/>
    </row>
    <row r="15" spans="1:16" ht="13.25" x14ac:dyDescent="0.25">
      <c r="A15" s="18" t="s">
        <v>310</v>
      </c>
      <c r="B15" s="39" t="s">
        <v>1275</v>
      </c>
      <c r="C15" s="188"/>
      <c r="D15" s="188"/>
      <c r="E15" s="189"/>
      <c r="F15" s="201"/>
      <c r="G15" s="201"/>
      <c r="H15" s="188"/>
      <c r="I15" s="200"/>
      <c r="J15" s="190"/>
      <c r="K15" s="201"/>
      <c r="L15" s="257"/>
      <c r="M15" s="52"/>
      <c r="N15" s="53"/>
    </row>
    <row r="16" spans="1:16" ht="13.25" x14ac:dyDescent="0.25">
      <c r="A16" s="18" t="s">
        <v>56</v>
      </c>
      <c r="B16" s="39" t="s">
        <v>1275</v>
      </c>
      <c r="C16" s="188"/>
      <c r="D16" s="188"/>
      <c r="E16" s="189"/>
      <c r="F16" s="201"/>
      <c r="G16" s="201"/>
      <c r="H16" s="188"/>
      <c r="I16" s="200"/>
      <c r="J16" s="190"/>
      <c r="K16" s="201"/>
      <c r="L16" s="257"/>
      <c r="M16" s="52"/>
      <c r="N16" s="53"/>
    </row>
    <row r="17" spans="1:14" ht="13.25" x14ac:dyDescent="0.25">
      <c r="A17" s="18" t="s">
        <v>57</v>
      </c>
      <c r="B17" s="39" t="s">
        <v>1275</v>
      </c>
      <c r="C17" s="188"/>
      <c r="D17" s="188"/>
      <c r="E17" s="189"/>
      <c r="F17" s="201"/>
      <c r="G17" s="201"/>
      <c r="H17" s="188"/>
      <c r="I17" s="200"/>
      <c r="J17" s="190"/>
      <c r="K17" s="201"/>
      <c r="L17" s="257"/>
      <c r="M17" s="52"/>
      <c r="N17" s="53"/>
    </row>
    <row r="18" spans="1:14" ht="13.25" x14ac:dyDescent="0.25">
      <c r="A18" s="18" t="s">
        <v>58</v>
      </c>
      <c r="B18" s="39" t="s">
        <v>1275</v>
      </c>
      <c r="C18" s="188"/>
      <c r="D18" s="188"/>
      <c r="E18" s="189"/>
      <c r="F18" s="201"/>
      <c r="G18" s="201"/>
      <c r="H18" s="188"/>
      <c r="I18" s="200"/>
      <c r="J18" s="190"/>
      <c r="K18" s="201"/>
      <c r="L18" s="257"/>
      <c r="M18" s="52"/>
      <c r="N18" s="53"/>
    </row>
    <row r="19" spans="1:14" ht="46" x14ac:dyDescent="0.25">
      <c r="A19" s="18" t="s">
        <v>59</v>
      </c>
      <c r="B19" s="40" t="s">
        <v>180</v>
      </c>
      <c r="C19" s="36" t="s">
        <v>664</v>
      </c>
      <c r="D19" s="36">
        <v>7</v>
      </c>
      <c r="E19" s="191" t="s">
        <v>181</v>
      </c>
      <c r="F19" s="598" t="s">
        <v>1264</v>
      </c>
      <c r="G19" s="600"/>
      <c r="H19" s="36" t="s">
        <v>95</v>
      </c>
      <c r="I19" s="37" t="s">
        <v>95</v>
      </c>
      <c r="J19" s="20" t="str">
        <f>"Flat rate of "&amp;TEXT(189.1*12/'Average wages'!B11,"0%")</f>
        <v>Flat rate of 14%</v>
      </c>
      <c r="K19" s="19" t="s">
        <v>1265</v>
      </c>
      <c r="L19" s="198" t="s">
        <v>95</v>
      </c>
      <c r="M19" s="19" t="s">
        <v>95</v>
      </c>
      <c r="N19" s="20" t="s">
        <v>95</v>
      </c>
    </row>
    <row r="20" spans="1:14" ht="149.5" x14ac:dyDescent="0.25">
      <c r="A20" s="241" t="s">
        <v>60</v>
      </c>
      <c r="B20" s="39" t="s">
        <v>182</v>
      </c>
      <c r="C20" s="188" t="s">
        <v>123</v>
      </c>
      <c r="D20" s="188">
        <v>5</v>
      </c>
      <c r="E20" s="189" t="s">
        <v>179</v>
      </c>
      <c r="F20" s="598" t="s">
        <v>1266</v>
      </c>
      <c r="G20" s="600"/>
      <c r="H20" s="188" t="s">
        <v>95</v>
      </c>
      <c r="I20" s="200" t="s">
        <v>95</v>
      </c>
      <c r="J20" s="190" t="str">
        <f>"Flat rate of "&amp;TEXT(33.66*5*52/'Average wages'!B12,"0%")</f>
        <v>Flat rate of 19%</v>
      </c>
      <c r="K20" s="529" t="str">
        <f xml:space="preserve"> "For part-time work (&lt; 80% of full-time): benefit reduced by 50% of gross earnings exceeding EUR 300 per month ("&amp;TEXT(300*12/'Average wages'!B12,"0%")&amp;" of AW); total income (benefit + earnings) cannot exceed 100% of reference earnings. Full-time work not permitted."</f>
        <v>For part-time work (&lt; 80% of full-time): benefit reduced by 50% of gross earnings exceeding EUR 300 per month (8% of AW); total income (benefit + earnings) cannot exceed 100% of reference earnings. Full-time work not permitted.</v>
      </c>
      <c r="L20" s="257" t="s">
        <v>1267</v>
      </c>
      <c r="M20" s="188" t="s">
        <v>1268</v>
      </c>
      <c r="N20" s="190" t="s">
        <v>1396</v>
      </c>
    </row>
    <row r="21" spans="1:14" ht="92" x14ac:dyDescent="0.25">
      <c r="A21" s="18" t="s">
        <v>61</v>
      </c>
      <c r="B21" s="35" t="s">
        <v>191</v>
      </c>
      <c r="C21" s="36" t="s">
        <v>183</v>
      </c>
      <c r="D21" s="36">
        <v>0</v>
      </c>
      <c r="E21" s="191" t="s">
        <v>960</v>
      </c>
      <c r="F21" s="598" t="s">
        <v>961</v>
      </c>
      <c r="G21" s="600"/>
      <c r="H21" s="36" t="s">
        <v>95</v>
      </c>
      <c r="I21" s="37" t="s">
        <v>95</v>
      </c>
      <c r="J21" s="20" t="str">
        <f>"Flat rate of "&amp;TEXT(16.74*365/'Average wages'!B13,"0%")</f>
        <v>Flat rate of 16%</v>
      </c>
      <c r="K21" s="19" t="s">
        <v>962</v>
      </c>
      <c r="L21" s="198" t="s">
        <v>95</v>
      </c>
      <c r="M21" s="19" t="s">
        <v>95</v>
      </c>
      <c r="N21" s="20" t="s">
        <v>95</v>
      </c>
    </row>
    <row r="22" spans="1:14" ht="103.5" x14ac:dyDescent="0.25">
      <c r="A22" s="258" t="s">
        <v>184</v>
      </c>
      <c r="B22" s="38" t="s">
        <v>1166</v>
      </c>
      <c r="C22" s="188" t="s">
        <v>123</v>
      </c>
      <c r="D22" s="188">
        <v>0</v>
      </c>
      <c r="E22" s="189" t="s">
        <v>179</v>
      </c>
      <c r="F22" s="598" t="str">
        <f>J22</f>
        <v>Flat rate of EUR 432/month (10% of AW)</v>
      </c>
      <c r="G22" s="600"/>
      <c r="H22" s="188" t="s">
        <v>95</v>
      </c>
      <c r="I22" s="200" t="s">
        <v>95</v>
      </c>
      <c r="J22" s="190" t="str">
        <f>"Flat rate of EUR 432/month ("&amp;TEXT(100*432*12/'Average wages'!B14,0)&amp;"% of AW)"</f>
        <v>Flat rate of EUR 432/month (10% of AW)</v>
      </c>
      <c r="K22" s="201" t="str">
        <f>"EUR100/month ("&amp;TEXT(100*12/'Average wages'!B14,"0%")&amp;" of AW) of gross income disregarded
80% withdrawal rate beyond this point up to EUR1000/month ("&amp;TEXT(100*1000*12/'Average wages'!B14,0)&amp;"% of AW)
90% withdrawal rate from this point up to EUR1200/month ("&amp;TEXT(100*1200*12/'Average wages'!B14,0)&amp;"% of AW) 
100% withdrawal rate above EUR 1200/month"</f>
        <v>EUR100/month (2% of AW) of gross income disregarded
80% withdrawal rate beyond this point up to EUR1000/month (23% of AW)
90% withdrawal rate from this point up to EUR1200/month (28% of AW) 
100% withdrawal rate above EUR 1200/month</v>
      </c>
      <c r="L22" s="257" t="s">
        <v>95</v>
      </c>
      <c r="M22" s="201" t="s">
        <v>1167</v>
      </c>
      <c r="N22" s="190" t="s">
        <v>95</v>
      </c>
    </row>
    <row r="23" spans="1:14" ht="69" x14ac:dyDescent="0.25">
      <c r="A23" s="259" t="s">
        <v>63</v>
      </c>
      <c r="B23" s="36" t="s">
        <v>732</v>
      </c>
      <c r="C23" s="36" t="s">
        <v>1269</v>
      </c>
      <c r="D23" s="36">
        <v>0</v>
      </c>
      <c r="E23" s="191">
        <v>12</v>
      </c>
      <c r="F23" s="603" t="s">
        <v>779</v>
      </c>
      <c r="G23" s="604"/>
      <c r="H23" s="36" t="s">
        <v>95</v>
      </c>
      <c r="I23" s="37" t="s">
        <v>95</v>
      </c>
      <c r="J23" s="20" t="str">
        <f>"Flat rate of "&amp;TEXT(200*12/'Average wages'!B15,"0%")</f>
        <v>Flat rate of 11%</v>
      </c>
      <c r="K23" s="19" t="s">
        <v>1265</v>
      </c>
      <c r="L23" s="198" t="s">
        <v>95</v>
      </c>
      <c r="M23" s="19" t="str">
        <f>"E:+ maximum limit on family income increased by EUR 586 for each dependent child ("&amp;TEXT(586/'Average wages'!B15,"0%")&amp;" of AW)"</f>
        <v>E:+ maximum limit on family income increased by EUR 586 for each dependent child (3% of AW)</v>
      </c>
      <c r="N23" s="20" t="s">
        <v>95</v>
      </c>
    </row>
    <row r="24" spans="1:14" ht="47.5" x14ac:dyDescent="0.25">
      <c r="A24" s="259" t="s">
        <v>63</v>
      </c>
      <c r="B24" s="36" t="s">
        <v>733</v>
      </c>
      <c r="C24" s="36" t="s">
        <v>1270</v>
      </c>
      <c r="D24" s="36">
        <v>0</v>
      </c>
      <c r="E24" s="191" t="s">
        <v>731</v>
      </c>
      <c r="F24" s="603" t="s">
        <v>1271</v>
      </c>
      <c r="G24" s="604"/>
      <c r="H24" s="36" t="s">
        <v>95</v>
      </c>
      <c r="I24" s="37" t="s">
        <v>95</v>
      </c>
      <c r="J24" s="20" t="str">
        <f>"Lump-sum of "&amp;TEXT(207.61/'Average wages'!B15,"0%")</f>
        <v>Lump-sum of 1%</v>
      </c>
      <c r="K24" s="19" t="s">
        <v>1265</v>
      </c>
      <c r="L24" s="198" t="s">
        <v>95</v>
      </c>
      <c r="M24" s="19" t="s">
        <v>95</v>
      </c>
      <c r="N24" s="20" t="s">
        <v>1272</v>
      </c>
    </row>
    <row r="25" spans="1:14" ht="47.5" x14ac:dyDescent="0.25">
      <c r="A25" s="259" t="s">
        <v>63</v>
      </c>
      <c r="B25" s="35" t="s">
        <v>775</v>
      </c>
      <c r="C25" s="36" t="s">
        <v>1273</v>
      </c>
      <c r="D25" s="36">
        <v>0</v>
      </c>
      <c r="E25" s="191" t="s">
        <v>778</v>
      </c>
      <c r="F25" s="603" t="s">
        <v>1274</v>
      </c>
      <c r="G25" s="604"/>
      <c r="H25" s="36" t="s">
        <v>95</v>
      </c>
      <c r="I25" s="37" t="s">
        <v>95</v>
      </c>
      <c r="J25" s="20" t="str">
        <f>"Total of 3 payments: "&amp;TEXT(239.55*3/'Average wages'!B15,"0%")</f>
        <v>Total of 3 payments: 3%</v>
      </c>
      <c r="K25" s="19" t="s">
        <v>1265</v>
      </c>
      <c r="L25" s="198" t="s">
        <v>95</v>
      </c>
      <c r="M25" s="19" t="s">
        <v>783</v>
      </c>
      <c r="N25" s="20" t="s">
        <v>95</v>
      </c>
    </row>
    <row r="26" spans="1:14" s="251" customFormat="1" x14ac:dyDescent="0.25">
      <c r="A26" s="259" t="s">
        <v>64</v>
      </c>
      <c r="B26" s="260" t="s">
        <v>1275</v>
      </c>
      <c r="C26" s="70"/>
      <c r="D26" s="70"/>
      <c r="E26" s="73"/>
      <c r="F26" s="531"/>
      <c r="G26" s="532"/>
      <c r="H26" s="70"/>
      <c r="I26" s="196"/>
      <c r="J26" s="123"/>
      <c r="K26" s="72"/>
      <c r="L26" s="306"/>
      <c r="M26" s="72"/>
      <c r="N26" s="123"/>
    </row>
    <row r="27" spans="1:14" s="251" customFormat="1" x14ac:dyDescent="0.25">
      <c r="A27" s="259" t="s">
        <v>65</v>
      </c>
      <c r="B27" s="260" t="s">
        <v>1275</v>
      </c>
      <c r="C27" s="70"/>
      <c r="D27" s="70"/>
      <c r="E27" s="73"/>
      <c r="F27" s="531"/>
      <c r="G27" s="532"/>
      <c r="H27" s="70"/>
      <c r="I27" s="196"/>
      <c r="J27" s="123"/>
      <c r="K27" s="72"/>
      <c r="L27" s="306"/>
      <c r="M27" s="72"/>
      <c r="N27" s="123"/>
    </row>
    <row r="28" spans="1:14" ht="57.5" x14ac:dyDescent="0.25">
      <c r="A28" s="18" t="s">
        <v>66</v>
      </c>
      <c r="B28" s="39" t="s">
        <v>185</v>
      </c>
      <c r="C28" s="188" t="s">
        <v>186</v>
      </c>
      <c r="D28" s="188">
        <v>3</v>
      </c>
      <c r="E28" s="189" t="s">
        <v>179</v>
      </c>
      <c r="F28" s="598" t="str">
        <f>"Flat rate of  EUR 203/week"</f>
        <v>Flat rate of  EUR 203/week</v>
      </c>
      <c r="G28" s="600"/>
      <c r="H28" s="188" t="s">
        <v>95</v>
      </c>
      <c r="I28" s="200" t="s">
        <v>95</v>
      </c>
      <c r="J28" s="190" t="str">
        <f>"Flat rate of "&amp;TEXT(203*52*100/'Average wages'!B18,0)&amp;"%"</f>
        <v>Flat rate of 23%</v>
      </c>
      <c r="K28" s="201" t="str">
        <f>"First EUR 20 of daily wages disregarded up to 3 days per week (maximum "&amp;TEXT(60*52*100/'Average wages'!B18,0)&amp;"% of AW). Benefit reduced by 60% of average net weekly earnings in excess of this amount. Benefit withdrawn if working on more than 3 days in a seven-day period."</f>
        <v>First EUR 20 of daily wages disregarded up to 3 days per week (maximum 7% of AW). Benefit reduced by 60% of average net weekly earnings in excess of this amount. Benefit withdrawn if working on more than 3 days in a seven-day period.</v>
      </c>
      <c r="L28" s="257" t="s">
        <v>95</v>
      </c>
      <c r="M28" s="201" t="s">
        <v>784</v>
      </c>
      <c r="N28" s="190" t="s">
        <v>95</v>
      </c>
    </row>
    <row r="29" spans="1:14" s="251" customFormat="1" x14ac:dyDescent="0.25">
      <c r="A29" s="259" t="s">
        <v>67</v>
      </c>
      <c r="B29" s="260" t="s">
        <v>1275</v>
      </c>
      <c r="C29" s="70"/>
      <c r="D29" s="70"/>
      <c r="E29" s="73"/>
      <c r="F29" s="531"/>
      <c r="G29" s="532"/>
      <c r="H29" s="70"/>
      <c r="I29" s="196"/>
      <c r="J29" s="123"/>
      <c r="K29" s="72"/>
      <c r="L29" s="306"/>
      <c r="M29" s="72"/>
      <c r="N29" s="123"/>
    </row>
    <row r="30" spans="1:14" s="251" customFormat="1" x14ac:dyDescent="0.25">
      <c r="A30" s="259" t="s">
        <v>68</v>
      </c>
      <c r="B30" s="260" t="s">
        <v>1275</v>
      </c>
      <c r="C30" s="70"/>
      <c r="D30" s="70"/>
      <c r="E30" s="73"/>
      <c r="F30" s="531"/>
      <c r="G30" s="532"/>
      <c r="H30" s="70"/>
      <c r="I30" s="196"/>
      <c r="J30" s="123"/>
      <c r="K30" s="72"/>
      <c r="L30" s="306"/>
      <c r="M30" s="72"/>
      <c r="N30" s="123"/>
    </row>
    <row r="31" spans="1:14" s="251" customFormat="1" x14ac:dyDescent="0.25">
      <c r="A31" s="259" t="s">
        <v>69</v>
      </c>
      <c r="B31" s="260" t="s">
        <v>1275</v>
      </c>
      <c r="C31" s="70"/>
      <c r="D31" s="70"/>
      <c r="E31" s="73"/>
      <c r="F31" s="531"/>
      <c r="G31" s="532"/>
      <c r="H31" s="70"/>
      <c r="I31" s="196"/>
      <c r="J31" s="123"/>
      <c r="K31" s="72"/>
      <c r="L31" s="306"/>
      <c r="M31" s="72"/>
      <c r="N31" s="123"/>
    </row>
    <row r="32" spans="1:14" s="251" customFormat="1" x14ac:dyDescent="0.25">
      <c r="A32" s="259" t="s">
        <v>70</v>
      </c>
      <c r="B32" s="260" t="s">
        <v>1275</v>
      </c>
      <c r="C32" s="70"/>
      <c r="D32" s="70"/>
      <c r="E32" s="73"/>
      <c r="F32" s="531"/>
      <c r="G32" s="532"/>
      <c r="H32" s="70"/>
      <c r="I32" s="196"/>
      <c r="J32" s="123"/>
      <c r="K32" s="72"/>
      <c r="L32" s="306"/>
      <c r="M32" s="72"/>
      <c r="N32" s="123"/>
    </row>
    <row r="33" spans="1:14" s="251" customFormat="1" x14ac:dyDescent="0.25">
      <c r="A33" s="259" t="s">
        <v>85</v>
      </c>
      <c r="B33" s="260" t="s">
        <v>1275</v>
      </c>
      <c r="C33" s="70"/>
      <c r="D33" s="70"/>
      <c r="E33" s="73"/>
      <c r="F33" s="531"/>
      <c r="G33" s="532"/>
      <c r="H33" s="70"/>
      <c r="I33" s="196"/>
      <c r="J33" s="123"/>
      <c r="K33" s="72"/>
      <c r="L33" s="306"/>
      <c r="M33" s="72"/>
      <c r="N33" s="123"/>
    </row>
    <row r="34" spans="1:14" s="251" customFormat="1" x14ac:dyDescent="0.25">
      <c r="A34" s="259" t="s">
        <v>86</v>
      </c>
      <c r="B34" s="260" t="s">
        <v>1275</v>
      </c>
      <c r="C34" s="70"/>
      <c r="D34" s="70"/>
      <c r="E34" s="73"/>
      <c r="F34" s="531"/>
      <c r="G34" s="532"/>
      <c r="H34" s="70"/>
      <c r="I34" s="196"/>
      <c r="J34" s="123"/>
      <c r="K34" s="72"/>
      <c r="L34" s="306"/>
      <c r="M34" s="72"/>
      <c r="N34" s="123"/>
    </row>
    <row r="35" spans="1:14" s="251" customFormat="1" x14ac:dyDescent="0.25">
      <c r="A35" s="259" t="s">
        <v>71</v>
      </c>
      <c r="B35" s="260" t="s">
        <v>1275</v>
      </c>
      <c r="C35" s="70"/>
      <c r="D35" s="70"/>
      <c r="E35" s="73"/>
      <c r="F35" s="531"/>
      <c r="G35" s="532"/>
      <c r="H35" s="70"/>
      <c r="I35" s="196"/>
      <c r="J35" s="123"/>
      <c r="K35" s="72"/>
      <c r="L35" s="306"/>
      <c r="M35" s="72"/>
      <c r="N35" s="123"/>
    </row>
    <row r="36" spans="1:14" s="251" customFormat="1" x14ac:dyDescent="0.25">
      <c r="A36" s="65" t="s">
        <v>72</v>
      </c>
      <c r="B36" s="260" t="s">
        <v>1275</v>
      </c>
      <c r="C36" s="70"/>
      <c r="D36" s="70"/>
      <c r="E36" s="73"/>
      <c r="F36" s="531"/>
      <c r="G36" s="532"/>
      <c r="H36" s="70"/>
      <c r="I36" s="196"/>
      <c r="J36" s="123"/>
      <c r="K36" s="72"/>
      <c r="L36" s="306"/>
      <c r="M36" s="72"/>
      <c r="N36" s="123"/>
    </row>
    <row r="37" spans="1:14" s="251" customFormat="1" ht="24" x14ac:dyDescent="0.25">
      <c r="A37" s="18" t="s">
        <v>187</v>
      </c>
      <c r="B37" s="260" t="s">
        <v>1447</v>
      </c>
      <c r="C37" s="70"/>
      <c r="D37" s="70"/>
      <c r="E37" s="73"/>
      <c r="F37" s="531"/>
      <c r="G37" s="532"/>
      <c r="H37" s="70"/>
      <c r="I37" s="196"/>
      <c r="J37" s="123"/>
      <c r="K37" s="72"/>
      <c r="L37" s="306"/>
      <c r="M37" s="72"/>
      <c r="N37" s="123"/>
    </row>
    <row r="38" spans="1:14" s="251" customFormat="1" x14ac:dyDescent="0.25">
      <c r="A38" s="65" t="s">
        <v>73</v>
      </c>
      <c r="B38" s="260" t="s">
        <v>1275</v>
      </c>
      <c r="C38" s="70"/>
      <c r="D38" s="70"/>
      <c r="E38" s="73"/>
      <c r="F38" s="531"/>
      <c r="G38" s="532"/>
      <c r="H38" s="70"/>
      <c r="I38" s="196"/>
      <c r="J38" s="123"/>
      <c r="K38" s="72"/>
      <c r="L38" s="306"/>
      <c r="M38" s="72"/>
      <c r="N38" s="123"/>
    </row>
    <row r="39" spans="1:14" s="251" customFormat="1" x14ac:dyDescent="0.25">
      <c r="A39" s="18" t="s">
        <v>244</v>
      </c>
      <c r="B39" s="260" t="s">
        <v>1275</v>
      </c>
      <c r="C39" s="70"/>
      <c r="D39" s="70"/>
      <c r="E39" s="73"/>
      <c r="F39" s="531"/>
      <c r="G39" s="532"/>
      <c r="H39" s="70"/>
      <c r="I39" s="196"/>
      <c r="J39" s="123"/>
      <c r="K39" s="72"/>
      <c r="L39" s="306"/>
      <c r="M39" s="72"/>
      <c r="N39" s="123"/>
    </row>
    <row r="40" spans="1:14" ht="92" x14ac:dyDescent="0.25">
      <c r="A40" s="241" t="s">
        <v>74</v>
      </c>
      <c r="B40" s="39" t="s">
        <v>1184</v>
      </c>
      <c r="C40" s="188" t="s">
        <v>592</v>
      </c>
      <c r="D40" s="188" t="s">
        <v>104</v>
      </c>
      <c r="E40" s="189" t="s">
        <v>1185</v>
      </c>
      <c r="F40" s="188" t="s">
        <v>623</v>
      </c>
      <c r="G40" s="242">
        <v>0.8</v>
      </c>
      <c r="H40" s="189" t="str">
        <f>"Social support index (Indexante dos Apoios Sociais (IAS): EUR 438.81/month, "&amp;TEXT(100*438.81*12/'Average wages'!B30,0)&amp;"% of AW)"</f>
        <v>Social support index (Indexante dos Apoios Sociais (IAS): EUR 438.81/month, 27% of AW)</v>
      </c>
      <c r="I40" s="200" t="s">
        <v>95</v>
      </c>
      <c r="J40" s="190" t="str">
        <f>"Flat rate of "&amp;TEXT(100*0.8*438.81*12/'Average wages'!B30,0)&amp;"%"</f>
        <v>Flat rate of 22%</v>
      </c>
      <c r="K40" s="201" t="s">
        <v>113</v>
      </c>
      <c r="L40" s="200" t="s">
        <v>188</v>
      </c>
      <c r="M40" s="201" t="s">
        <v>785</v>
      </c>
      <c r="N40" s="190" t="s">
        <v>95</v>
      </c>
    </row>
    <row r="41" spans="1:14" x14ac:dyDescent="0.25">
      <c r="A41" s="65" t="s">
        <v>75</v>
      </c>
      <c r="B41" s="260" t="s">
        <v>1275</v>
      </c>
      <c r="C41" s="36"/>
      <c r="D41" s="36"/>
      <c r="E41" s="191"/>
      <c r="F41" s="70"/>
      <c r="G41" s="137"/>
      <c r="H41" s="70"/>
      <c r="I41" s="37"/>
      <c r="J41" s="20"/>
      <c r="K41" s="19"/>
      <c r="L41" s="37"/>
      <c r="M41" s="19"/>
      <c r="N41" s="20"/>
    </row>
    <row r="42" spans="1:14" s="251" customFormat="1" x14ac:dyDescent="0.25">
      <c r="A42" s="18" t="s">
        <v>76</v>
      </c>
      <c r="B42" s="260" t="s">
        <v>1275</v>
      </c>
      <c r="C42" s="70"/>
      <c r="D42" s="70"/>
      <c r="E42" s="73"/>
      <c r="F42" s="531"/>
      <c r="G42" s="532"/>
      <c r="H42" s="70"/>
      <c r="I42" s="196"/>
      <c r="J42" s="123"/>
      <c r="K42" s="72"/>
      <c r="L42" s="306"/>
      <c r="M42" s="72"/>
      <c r="N42" s="123"/>
    </row>
    <row r="43" spans="1:14" ht="218.5" x14ac:dyDescent="0.25">
      <c r="A43" s="241" t="s">
        <v>1397</v>
      </c>
      <c r="B43" s="39" t="s">
        <v>776</v>
      </c>
      <c r="C43" s="188" t="s">
        <v>1202</v>
      </c>
      <c r="D43" s="188" t="s">
        <v>751</v>
      </c>
      <c r="E43" s="189">
        <v>6</v>
      </c>
      <c r="F43" s="598">
        <v>0.8</v>
      </c>
      <c r="G43" s="600"/>
      <c r="H43" s="189" t="str">
        <f>"IPREM (Indicador Público de Renta de Efectos Múltiples), EUR 537.84/month ("&amp;TEXT(537.84*12/'Average wages'!B33,"0%")&amp;" of AW)"</f>
        <v>IPREM (Indicador Público de Renta de Efectos Múltiples), EUR 537.84/month (24% of AW)</v>
      </c>
      <c r="I43" s="200" t="s">
        <v>95</v>
      </c>
      <c r="J43" s="190" t="str">
        <f>"Flat rate of "&amp;TEXT(537.84*0.8*12/'Average wages'!B33,"0%")</f>
        <v>Flat rate of 19%</v>
      </c>
      <c r="K43" s="201" t="str">
        <f>"The benefit is reduced in the same proportion as the number of daily working hours. Benefit fully withdrawn if earnings above 75% of the minimum wage ("&amp;TEXT(950*0.75*12/'Average wages'!B33,"0%")&amp;" of the average wage)"</f>
        <v>The benefit is reduced in the same proportion as the number of daily working hours. Benefit fully withdrawn if earnings above 75% of the minimum wage (32% of the average wage)</v>
      </c>
      <c r="L43" s="200" t="s">
        <v>1203</v>
      </c>
      <c r="M43" s="201" t="s">
        <v>1204</v>
      </c>
      <c r="N43" s="190" t="s">
        <v>1205</v>
      </c>
    </row>
    <row r="44" spans="1:14" ht="103.5" x14ac:dyDescent="0.25">
      <c r="A44" s="65" t="s">
        <v>1397</v>
      </c>
      <c r="B44" s="310" t="s">
        <v>1206</v>
      </c>
      <c r="C44" s="188" t="s">
        <v>777</v>
      </c>
      <c r="D44" s="188" t="s">
        <v>104</v>
      </c>
      <c r="E44" s="189">
        <v>11</v>
      </c>
      <c r="F44" s="598">
        <v>0.8</v>
      </c>
      <c r="G44" s="600"/>
      <c r="H44" s="189" t="str">
        <f>H43</f>
        <v>IPREM (Indicador Público de Renta de Efectos Múltiples), EUR 537.84/month (24% of AW)</v>
      </c>
      <c r="I44" s="201" t="s">
        <v>95</v>
      </c>
      <c r="J44" s="190" t="str">
        <f>J43</f>
        <v>Flat rate of 19%</v>
      </c>
      <c r="K44" s="201" t="str">
        <f>K43</f>
        <v>The benefit is reduced in the same proportion as the number of daily working hours. Benefit fully withdrawn if earnings above 75% of the minimum wage (32% of the average wage)</v>
      </c>
      <c r="L44" s="200" t="s">
        <v>786</v>
      </c>
      <c r="M44" s="201" t="s">
        <v>95</v>
      </c>
      <c r="N44" s="190" t="s">
        <v>95</v>
      </c>
    </row>
    <row r="45" spans="1:14" ht="103.5" x14ac:dyDescent="0.25">
      <c r="A45" s="65" t="s">
        <v>1429</v>
      </c>
      <c r="B45" s="310" t="s">
        <v>1232</v>
      </c>
      <c r="C45" s="188" t="s">
        <v>1207</v>
      </c>
      <c r="D45" s="188" t="s">
        <v>104</v>
      </c>
      <c r="E45" s="189">
        <v>6</v>
      </c>
      <c r="F45" s="598">
        <v>0.8</v>
      </c>
      <c r="G45" s="600"/>
      <c r="H45" s="189" t="str">
        <f>H44</f>
        <v>IPREM (Indicador Público de Renta de Efectos Múltiples), EUR 537.84/month (24% of AW)</v>
      </c>
      <c r="I45" s="201" t="s">
        <v>95</v>
      </c>
      <c r="J45" s="190" t="str">
        <f>J43</f>
        <v>Flat rate of 19%</v>
      </c>
      <c r="K45" s="201" t="str">
        <f>K43</f>
        <v>The benefit is reduced in the same proportion as the number of daily working hours. Benefit fully withdrawn if earnings above 75% of the minimum wage (32% of the average wage)</v>
      </c>
      <c r="L45" s="200" t="s">
        <v>95</v>
      </c>
      <c r="M45" s="201" t="s">
        <v>95</v>
      </c>
      <c r="N45" s="190" t="s">
        <v>95</v>
      </c>
    </row>
    <row r="46" spans="1:14" ht="69" x14ac:dyDescent="0.25">
      <c r="A46" s="18" t="s">
        <v>78</v>
      </c>
      <c r="B46" s="39" t="s">
        <v>685</v>
      </c>
      <c r="C46" s="188" t="s">
        <v>686</v>
      </c>
      <c r="D46" s="188">
        <v>6</v>
      </c>
      <c r="E46" s="41" t="s">
        <v>958</v>
      </c>
      <c r="F46" s="598" t="s">
        <v>780</v>
      </c>
      <c r="G46" s="600"/>
      <c r="H46" s="188" t="s">
        <v>95</v>
      </c>
      <c r="I46" s="200" t="s">
        <v>95</v>
      </c>
      <c r="J46" s="190" t="str">
        <f>"Flat rate of "&amp;TEXT(94900/'Average wages'!B34,"0%")</f>
        <v>Flat rate of 20%</v>
      </c>
      <c r="K46" s="201" t="s">
        <v>959</v>
      </c>
      <c r="L46" s="200" t="s">
        <v>781</v>
      </c>
      <c r="M46" s="201" t="s">
        <v>687</v>
      </c>
      <c r="N46" s="190" t="s">
        <v>189</v>
      </c>
    </row>
    <row r="47" spans="1:14" x14ac:dyDescent="0.25">
      <c r="A47" s="65" t="s">
        <v>79</v>
      </c>
      <c r="B47" s="260" t="s">
        <v>1275</v>
      </c>
      <c r="C47" s="70"/>
      <c r="D47" s="70"/>
      <c r="E47" s="285"/>
      <c r="F47" s="533"/>
      <c r="G47" s="534"/>
      <c r="H47" s="70"/>
      <c r="I47" s="196"/>
      <c r="J47" s="123"/>
      <c r="K47" s="72"/>
      <c r="L47" s="196"/>
      <c r="M47" s="72"/>
      <c r="N47" s="123"/>
    </row>
    <row r="48" spans="1:14" x14ac:dyDescent="0.25">
      <c r="A48" s="65" t="s">
        <v>80</v>
      </c>
      <c r="B48" s="260" t="s">
        <v>1275</v>
      </c>
      <c r="C48" s="70"/>
      <c r="D48" s="70"/>
      <c r="E48" s="285"/>
      <c r="F48" s="533"/>
      <c r="G48" s="534"/>
      <c r="H48" s="70"/>
      <c r="I48" s="196"/>
      <c r="J48" s="123"/>
      <c r="K48" s="72"/>
      <c r="L48" s="196"/>
      <c r="M48" s="72"/>
      <c r="N48" s="123"/>
    </row>
    <row r="49" spans="1:16" ht="57.5" x14ac:dyDescent="0.25">
      <c r="A49" s="258" t="s">
        <v>81</v>
      </c>
      <c r="B49" s="260" t="s">
        <v>1214</v>
      </c>
      <c r="C49" s="70" t="s">
        <v>123</v>
      </c>
      <c r="D49" s="70" t="s">
        <v>123</v>
      </c>
      <c r="E49" s="73" t="s">
        <v>179</v>
      </c>
      <c r="F49" s="601" t="s">
        <v>1215</v>
      </c>
      <c r="G49" s="602"/>
      <c r="H49" s="70" t="s">
        <v>95</v>
      </c>
      <c r="I49" s="196" t="s">
        <v>95</v>
      </c>
      <c r="J49" s="262" t="str">
        <f>"Flat rate of "&amp;TEXT(409.89*12*100/'Average wages'!B37,0)&amp;"%"</f>
        <v>Flat rate of 12%</v>
      </c>
      <c r="K49" s="72" t="s">
        <v>1216</v>
      </c>
      <c r="L49" s="196" t="s">
        <v>1217</v>
      </c>
      <c r="M49" s="72" t="s">
        <v>1218</v>
      </c>
      <c r="N49" s="123" t="s">
        <v>1219</v>
      </c>
    </row>
    <row r="50" spans="1:16" x14ac:dyDescent="0.25">
      <c r="A50" s="65" t="s">
        <v>316</v>
      </c>
      <c r="B50" s="39" t="s">
        <v>1275</v>
      </c>
      <c r="C50" s="188"/>
      <c r="D50" s="188"/>
      <c r="E50" s="41"/>
      <c r="F50" s="531"/>
      <c r="G50" s="532"/>
      <c r="H50" s="188"/>
      <c r="I50" s="200"/>
      <c r="J50" s="190"/>
      <c r="K50" s="201"/>
      <c r="L50" s="200"/>
      <c r="M50" s="201"/>
      <c r="N50" s="190"/>
    </row>
    <row r="51" spans="1:16" s="22" customFormat="1" x14ac:dyDescent="0.25">
      <c r="A51" s="21" t="s">
        <v>1149</v>
      </c>
      <c r="B51" s="29"/>
      <c r="C51" s="29"/>
      <c r="D51" s="29"/>
      <c r="E51" s="29"/>
      <c r="F51" s="29"/>
      <c r="G51" s="29"/>
      <c r="H51" s="29"/>
      <c r="I51" s="29"/>
      <c r="J51" s="29"/>
      <c r="K51" s="29"/>
      <c r="L51" s="193"/>
      <c r="M51" s="29"/>
      <c r="N51" s="34"/>
      <c r="O51" s="29"/>
      <c r="P51" s="29"/>
    </row>
    <row r="52" spans="1:16" x14ac:dyDescent="0.25">
      <c r="A52" s="65" t="s">
        <v>83</v>
      </c>
      <c r="B52" s="260" t="s">
        <v>1275</v>
      </c>
      <c r="C52" s="70"/>
      <c r="D52" s="70"/>
      <c r="E52" s="285"/>
      <c r="F52" s="533"/>
      <c r="G52" s="534"/>
      <c r="H52" s="70"/>
      <c r="I52" s="196"/>
      <c r="J52" s="123"/>
      <c r="K52" s="72"/>
      <c r="L52" s="196"/>
      <c r="M52" s="72"/>
      <c r="N52" s="123"/>
    </row>
    <row r="53" spans="1:16" x14ac:dyDescent="0.25">
      <c r="A53" s="65" t="s">
        <v>84</v>
      </c>
      <c r="B53" s="260" t="s">
        <v>1275</v>
      </c>
      <c r="C53" s="70"/>
      <c r="D53" s="70"/>
      <c r="E53" s="285"/>
      <c r="F53" s="533"/>
      <c r="G53" s="534"/>
      <c r="H53" s="70"/>
      <c r="I53" s="196"/>
      <c r="J53" s="123"/>
      <c r="K53" s="72"/>
      <c r="L53" s="196"/>
      <c r="M53" s="72"/>
      <c r="N53" s="123"/>
    </row>
    <row r="54" spans="1:16" x14ac:dyDescent="0.25">
      <c r="A54" s="65" t="s">
        <v>585</v>
      </c>
      <c r="B54" s="260" t="s">
        <v>1275</v>
      </c>
      <c r="C54" s="70"/>
      <c r="D54" s="70"/>
      <c r="E54" s="285"/>
      <c r="F54" s="533"/>
      <c r="G54" s="534"/>
      <c r="H54" s="70"/>
      <c r="I54" s="196"/>
      <c r="J54" s="123"/>
      <c r="K54" s="72"/>
      <c r="L54" s="196"/>
      <c r="M54" s="72"/>
      <c r="N54" s="123"/>
    </row>
    <row r="55" spans="1:16" ht="24" x14ac:dyDescent="0.25">
      <c r="A55" s="65" t="s">
        <v>192</v>
      </c>
      <c r="B55" s="260" t="s">
        <v>1446</v>
      </c>
      <c r="C55" s="70"/>
      <c r="D55" s="70"/>
      <c r="E55" s="285"/>
      <c r="F55" s="533"/>
      <c r="G55" s="534"/>
      <c r="H55" s="70"/>
      <c r="I55" s="196"/>
      <c r="J55" s="123"/>
      <c r="K55" s="72"/>
      <c r="L55" s="196"/>
      <c r="M55" s="72"/>
      <c r="N55" s="123"/>
    </row>
    <row r="56" spans="1:16" x14ac:dyDescent="0.25">
      <c r="A56" s="65" t="s">
        <v>87</v>
      </c>
      <c r="B56" s="39" t="s">
        <v>1275</v>
      </c>
      <c r="C56" s="188"/>
      <c r="D56" s="188"/>
      <c r="E56" s="41"/>
      <c r="F56" s="531"/>
      <c r="G56" s="532"/>
      <c r="H56" s="188"/>
      <c r="I56" s="200"/>
      <c r="J56" s="190"/>
      <c r="K56" s="201"/>
      <c r="L56" s="200"/>
      <c r="M56" s="201"/>
      <c r="N56" s="190"/>
    </row>
    <row r="58" spans="1:16" x14ac:dyDescent="0.25">
      <c r="A58" s="124" t="s">
        <v>88</v>
      </c>
      <c r="B58" s="124"/>
      <c r="C58" s="124"/>
    </row>
    <row r="59" spans="1:16" x14ac:dyDescent="0.25">
      <c r="A59" s="124" t="s">
        <v>195</v>
      </c>
      <c r="B59" s="124"/>
      <c r="C59" s="124"/>
    </row>
    <row r="60" spans="1:16" x14ac:dyDescent="0.25">
      <c r="A60" s="124" t="s">
        <v>193</v>
      </c>
      <c r="B60" s="124"/>
      <c r="C60" s="124"/>
    </row>
    <row r="61" spans="1:16" x14ac:dyDescent="0.25">
      <c r="A61" s="124" t="s">
        <v>194</v>
      </c>
      <c r="B61" s="124"/>
      <c r="C61" s="124"/>
    </row>
    <row r="62" spans="1:16" x14ac:dyDescent="0.25">
      <c r="A62" s="124" t="s">
        <v>1426</v>
      </c>
      <c r="B62" s="124"/>
      <c r="C62" s="124"/>
    </row>
    <row r="63" spans="1:16" x14ac:dyDescent="0.25">
      <c r="A63" s="124" t="s">
        <v>1427</v>
      </c>
      <c r="B63" s="124"/>
      <c r="C63" s="124"/>
    </row>
    <row r="64" spans="1:16" x14ac:dyDescent="0.25">
      <c r="A64" s="124" t="s">
        <v>1428</v>
      </c>
      <c r="B64" s="124"/>
      <c r="C64" s="124"/>
    </row>
    <row r="65" spans="1:3" x14ac:dyDescent="0.25">
      <c r="A65" s="124"/>
      <c r="B65" s="124"/>
      <c r="C65" s="124"/>
    </row>
    <row r="66" spans="1:3" x14ac:dyDescent="0.25">
      <c r="A66" s="124" t="s">
        <v>139</v>
      </c>
      <c r="B66" s="264" t="s">
        <v>6</v>
      </c>
      <c r="C66" s="124"/>
    </row>
    <row r="67" spans="1:3" x14ac:dyDescent="0.25">
      <c r="A67" s="124"/>
      <c r="B67" s="124"/>
      <c r="C67" s="124"/>
    </row>
  </sheetData>
  <autoFilter ref="A11:A56"/>
  <mergeCells count="27">
    <mergeCell ref="A1:N1"/>
    <mergeCell ref="A2:N2"/>
    <mergeCell ref="A3:N3"/>
    <mergeCell ref="B7:B9"/>
    <mergeCell ref="C7:C9"/>
    <mergeCell ref="D7:D9"/>
    <mergeCell ref="E7:E9"/>
    <mergeCell ref="F7:K7"/>
    <mergeCell ref="F8:F9"/>
    <mergeCell ref="G8:G9"/>
    <mergeCell ref="H8:H9"/>
    <mergeCell ref="K8:K9"/>
    <mergeCell ref="F22:G22"/>
    <mergeCell ref="F28:G28"/>
    <mergeCell ref="L7:N8"/>
    <mergeCell ref="F12:G12"/>
    <mergeCell ref="F23:G23"/>
    <mergeCell ref="F24:G24"/>
    <mergeCell ref="F25:G25"/>
    <mergeCell ref="F19:G19"/>
    <mergeCell ref="F20:G20"/>
    <mergeCell ref="F21:G21"/>
    <mergeCell ref="F43:G43"/>
    <mergeCell ref="F49:G49"/>
    <mergeCell ref="F44:G44"/>
    <mergeCell ref="F45:G45"/>
    <mergeCell ref="F46:G46"/>
  </mergeCells>
  <hyperlinks>
    <hyperlink ref="B66" r:id="rId1"/>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V67"/>
  <sheetViews>
    <sheetView zoomScale="70" zoomScaleNormal="70" workbookViewId="0">
      <pane xSplit="1" ySplit="10" topLeftCell="B11" activePane="bottomRight" state="frozen"/>
      <selection activeCell="J15" sqref="J15"/>
      <selection pane="topRight" activeCell="J15" sqref="J15"/>
      <selection pane="bottomLeft" activeCell="J15" sqref="J15"/>
      <selection pane="bottomRight" sqref="A1:V1"/>
    </sheetView>
  </sheetViews>
  <sheetFormatPr defaultColWidth="8.6328125" defaultRowHeight="12.5" x14ac:dyDescent="0.25"/>
  <cols>
    <col min="1" max="1" width="18.90625" style="23" bestFit="1" customWidth="1"/>
    <col min="2" max="2" width="18.90625" style="23" customWidth="1"/>
    <col min="3" max="3" width="18.08984375" style="23" customWidth="1"/>
    <col min="4" max="4" width="20.90625" style="23" customWidth="1"/>
    <col min="5" max="5" width="13.453125" style="23" customWidth="1"/>
    <col min="6" max="6" width="14" style="23" customWidth="1"/>
    <col min="7" max="7" width="11.08984375" style="23" customWidth="1"/>
    <col min="8" max="8" width="12.453125" style="23" customWidth="1"/>
    <col min="9" max="9" width="18" style="23" bestFit="1" customWidth="1"/>
    <col min="10" max="10" width="18.453125" style="23" bestFit="1" customWidth="1"/>
    <col min="11" max="11" width="12.90625" style="23" customWidth="1"/>
    <col min="12" max="12" width="10" style="23" customWidth="1"/>
    <col min="13" max="13" width="14.54296875" style="23" bestFit="1" customWidth="1"/>
    <col min="14" max="14" width="11" style="23" bestFit="1" customWidth="1"/>
    <col min="15" max="15" width="24" style="23" customWidth="1"/>
    <col min="16" max="16" width="29.90625" style="23" customWidth="1"/>
    <col min="17" max="17" width="26.54296875" style="23" bestFit="1" customWidth="1"/>
    <col min="18" max="18" width="36.90625" style="23" bestFit="1" customWidth="1"/>
    <col min="19" max="19" width="24.90625" style="23" bestFit="1" customWidth="1"/>
    <col min="20" max="20" width="28.08984375" style="23" bestFit="1" customWidth="1"/>
    <col min="21" max="21" width="24.453125" style="23" customWidth="1"/>
    <col min="22" max="22" width="19.08984375" style="23" bestFit="1" customWidth="1"/>
    <col min="23" max="16384" width="8.6328125" style="23"/>
  </cols>
  <sheetData>
    <row r="1" spans="1:22" ht="17.399999999999999" x14ac:dyDescent="0.25">
      <c r="A1" s="606" t="s">
        <v>196</v>
      </c>
      <c r="B1" s="606"/>
      <c r="C1" s="606"/>
      <c r="D1" s="606"/>
      <c r="E1" s="606"/>
      <c r="F1" s="606"/>
      <c r="G1" s="606"/>
      <c r="H1" s="606"/>
      <c r="I1" s="606"/>
      <c r="J1" s="606"/>
      <c r="K1" s="606"/>
      <c r="L1" s="606"/>
      <c r="M1" s="606"/>
      <c r="N1" s="606"/>
      <c r="O1" s="606"/>
      <c r="P1" s="606"/>
      <c r="Q1" s="606"/>
      <c r="R1" s="606"/>
      <c r="S1" s="606"/>
      <c r="T1" s="606"/>
      <c r="U1" s="606"/>
      <c r="V1" s="606"/>
    </row>
    <row r="2" spans="1:22" ht="17.399999999999999" x14ac:dyDescent="0.25">
      <c r="A2" s="606">
        <v>2020</v>
      </c>
      <c r="B2" s="606"/>
      <c r="C2" s="606"/>
      <c r="D2" s="606"/>
      <c r="E2" s="606"/>
      <c r="F2" s="606"/>
      <c r="G2" s="606"/>
      <c r="H2" s="606"/>
      <c r="I2" s="606"/>
      <c r="J2" s="606"/>
      <c r="K2" s="606"/>
      <c r="L2" s="606"/>
      <c r="M2" s="606"/>
      <c r="N2" s="606"/>
      <c r="O2" s="606"/>
      <c r="P2" s="606"/>
      <c r="Q2" s="606"/>
      <c r="R2" s="606"/>
      <c r="S2" s="606"/>
      <c r="T2" s="606"/>
      <c r="U2" s="606"/>
      <c r="V2" s="606"/>
    </row>
    <row r="3" spans="1:22" ht="17.149999999999999" customHeight="1" x14ac:dyDescent="0.25">
      <c r="A3" s="624" t="s">
        <v>1398</v>
      </c>
      <c r="B3" s="624"/>
      <c r="C3" s="624"/>
      <c r="D3" s="624"/>
      <c r="E3" s="624"/>
      <c r="F3" s="624"/>
      <c r="G3" s="624"/>
      <c r="H3" s="624"/>
      <c r="I3" s="624"/>
      <c r="J3" s="624"/>
      <c r="K3" s="624"/>
      <c r="L3" s="624"/>
      <c r="M3" s="624"/>
      <c r="N3" s="624"/>
      <c r="O3" s="624"/>
      <c r="P3" s="624"/>
      <c r="Q3" s="624"/>
      <c r="R3" s="624"/>
      <c r="S3" s="624"/>
      <c r="T3" s="624"/>
      <c r="U3" s="624"/>
      <c r="V3" s="624"/>
    </row>
    <row r="4" spans="1:22" ht="12.65" customHeight="1" x14ac:dyDescent="0.25">
      <c r="A4" s="545"/>
      <c r="B4" s="545"/>
      <c r="C4" s="545"/>
      <c r="D4" s="545"/>
      <c r="E4" s="545"/>
      <c r="F4" s="545"/>
      <c r="G4" s="545"/>
      <c r="H4" s="545"/>
      <c r="I4" s="545"/>
      <c r="J4" s="545"/>
      <c r="K4" s="545"/>
      <c r="L4" s="545"/>
      <c r="M4" s="545"/>
      <c r="N4" s="545"/>
      <c r="O4" s="545"/>
      <c r="P4" s="545"/>
      <c r="Q4" s="545"/>
      <c r="R4" s="545"/>
      <c r="S4" s="545"/>
      <c r="T4" s="545"/>
      <c r="U4" s="545"/>
      <c r="V4" s="545"/>
    </row>
    <row r="5" spans="1:22" ht="12.65" hidden="1" customHeight="1" x14ac:dyDescent="0.25">
      <c r="A5" s="28" t="s">
        <v>5</v>
      </c>
      <c r="B5" s="28"/>
      <c r="C5" s="28" t="s">
        <v>8</v>
      </c>
      <c r="D5" s="28" t="s">
        <v>8</v>
      </c>
      <c r="E5" s="28" t="s">
        <v>8</v>
      </c>
      <c r="F5" s="28" t="s">
        <v>8</v>
      </c>
      <c r="G5" s="28" t="s">
        <v>8</v>
      </c>
      <c r="H5" s="28" t="s">
        <v>8</v>
      </c>
      <c r="I5" s="28" t="s">
        <v>8</v>
      </c>
      <c r="J5" s="28" t="s">
        <v>8</v>
      </c>
      <c r="K5" s="28" t="s">
        <v>8</v>
      </c>
      <c r="L5" s="28" t="s">
        <v>197</v>
      </c>
      <c r="M5" s="28" t="s">
        <v>197</v>
      </c>
      <c r="N5" s="28" t="s">
        <v>197</v>
      </c>
      <c r="O5" s="28" t="s">
        <v>197</v>
      </c>
      <c r="P5" s="28" t="s">
        <v>8</v>
      </c>
      <c r="Q5" s="28" t="s">
        <v>8</v>
      </c>
      <c r="R5" s="28" t="s">
        <v>8</v>
      </c>
      <c r="S5" s="28" t="s">
        <v>8</v>
      </c>
      <c r="T5" s="28" t="s">
        <v>8</v>
      </c>
      <c r="U5" s="54" t="s">
        <v>8</v>
      </c>
      <c r="V5" s="54" t="s">
        <v>8</v>
      </c>
    </row>
    <row r="6" spans="1:22" ht="13.25" hidden="1" x14ac:dyDescent="0.25">
      <c r="A6" s="55" t="s">
        <v>10</v>
      </c>
      <c r="B6" s="28"/>
      <c r="C6" s="31" t="s">
        <v>198</v>
      </c>
      <c r="D6" s="31" t="s">
        <v>199</v>
      </c>
      <c r="E6" s="31" t="s">
        <v>200</v>
      </c>
      <c r="F6" s="31" t="s">
        <v>201</v>
      </c>
      <c r="G6" s="31" t="s">
        <v>202</v>
      </c>
      <c r="H6" s="31" t="s">
        <v>203</v>
      </c>
      <c r="I6" s="31" t="s">
        <v>204</v>
      </c>
      <c r="J6" s="31" t="s">
        <v>205</v>
      </c>
      <c r="K6" s="31" t="s">
        <v>206</v>
      </c>
      <c r="L6" s="29"/>
      <c r="M6" s="29"/>
      <c r="N6" s="29"/>
      <c r="O6" s="29"/>
      <c r="P6" s="31" t="s">
        <v>207</v>
      </c>
      <c r="Q6" s="31" t="s">
        <v>208</v>
      </c>
      <c r="R6" s="31" t="s">
        <v>209</v>
      </c>
      <c r="S6" s="31" t="s">
        <v>210</v>
      </c>
      <c r="T6" s="31" t="s">
        <v>211</v>
      </c>
      <c r="U6" s="9" t="s">
        <v>212</v>
      </c>
      <c r="V6" s="9" t="s">
        <v>213</v>
      </c>
    </row>
    <row r="7" spans="1:22" ht="12.75" customHeight="1" x14ac:dyDescent="0.25">
      <c r="A7" s="157"/>
      <c r="B7" s="607" t="s">
        <v>1006</v>
      </c>
      <c r="C7" s="607" t="s">
        <v>173</v>
      </c>
      <c r="D7" s="607" t="s">
        <v>214</v>
      </c>
      <c r="E7" s="609" t="s">
        <v>1005</v>
      </c>
      <c r="F7" s="610"/>
      <c r="G7" s="610"/>
      <c r="H7" s="610"/>
      <c r="I7" s="610"/>
      <c r="J7" s="611"/>
      <c r="K7" s="615" t="s">
        <v>215</v>
      </c>
      <c r="L7" s="616"/>
      <c r="M7" s="616"/>
      <c r="N7" s="616"/>
      <c r="O7" s="616"/>
      <c r="P7" s="616"/>
      <c r="Q7" s="616"/>
      <c r="R7" s="616"/>
      <c r="S7" s="617"/>
      <c r="T7" s="582" t="s">
        <v>175</v>
      </c>
      <c r="U7" s="584"/>
      <c r="V7" s="586"/>
    </row>
    <row r="8" spans="1:22" x14ac:dyDescent="0.25">
      <c r="A8" s="34"/>
      <c r="B8" s="608"/>
      <c r="C8" s="608"/>
      <c r="D8" s="608"/>
      <c r="E8" s="612"/>
      <c r="F8" s="613"/>
      <c r="G8" s="613"/>
      <c r="H8" s="613"/>
      <c r="I8" s="613"/>
      <c r="J8" s="614"/>
      <c r="K8" s="609" t="s">
        <v>287</v>
      </c>
      <c r="L8" s="610"/>
      <c r="M8" s="610"/>
      <c r="N8" s="610"/>
      <c r="O8" s="610"/>
      <c r="P8" s="621" t="s">
        <v>216</v>
      </c>
      <c r="Q8" s="622"/>
      <c r="R8" s="622"/>
      <c r="S8" s="623"/>
      <c r="T8" s="618"/>
      <c r="U8" s="619"/>
      <c r="V8" s="620"/>
    </row>
    <row r="9" spans="1:22" ht="69" x14ac:dyDescent="0.25">
      <c r="A9" s="34"/>
      <c r="B9" s="608"/>
      <c r="C9" s="608"/>
      <c r="D9" s="608"/>
      <c r="E9" s="536" t="s">
        <v>217</v>
      </c>
      <c r="F9" s="537" t="s">
        <v>218</v>
      </c>
      <c r="G9" s="537" t="s">
        <v>219</v>
      </c>
      <c r="H9" s="537" t="s">
        <v>220</v>
      </c>
      <c r="I9" s="537" t="s">
        <v>221</v>
      </c>
      <c r="J9" s="537" t="s">
        <v>222</v>
      </c>
      <c r="K9" s="536" t="s">
        <v>223</v>
      </c>
      <c r="L9" s="537" t="s">
        <v>224</v>
      </c>
      <c r="M9" s="537" t="s">
        <v>225</v>
      </c>
      <c r="N9" s="537" t="s">
        <v>226</v>
      </c>
      <c r="O9" s="56" t="s">
        <v>227</v>
      </c>
      <c r="P9" s="536" t="s">
        <v>228</v>
      </c>
      <c r="Q9" s="537" t="s">
        <v>229</v>
      </c>
      <c r="R9" s="537" t="s">
        <v>230</v>
      </c>
      <c r="S9" s="538" t="s">
        <v>231</v>
      </c>
      <c r="T9" s="518" t="s">
        <v>36</v>
      </c>
      <c r="U9" s="519" t="s">
        <v>232</v>
      </c>
      <c r="V9" s="521" t="s">
        <v>38</v>
      </c>
    </row>
    <row r="10" spans="1:22" ht="13.25" x14ac:dyDescent="0.25">
      <c r="A10" s="541"/>
      <c r="B10" s="265" t="s">
        <v>39</v>
      </c>
      <c r="C10" s="265" t="s">
        <v>40</v>
      </c>
      <c r="D10" s="57" t="s">
        <v>41</v>
      </c>
      <c r="E10" s="58" t="s">
        <v>42</v>
      </c>
      <c r="F10" s="57" t="s">
        <v>43</v>
      </c>
      <c r="G10" s="57" t="s">
        <v>44</v>
      </c>
      <c r="H10" s="57" t="s">
        <v>45</v>
      </c>
      <c r="I10" s="266" t="s">
        <v>46</v>
      </c>
      <c r="J10" s="57" t="s">
        <v>47</v>
      </c>
      <c r="K10" s="58" t="s">
        <v>48</v>
      </c>
      <c r="L10" s="57" t="s">
        <v>49</v>
      </c>
      <c r="M10" s="57" t="s">
        <v>50</v>
      </c>
      <c r="N10" s="57" t="s">
        <v>51</v>
      </c>
      <c r="O10" s="57" t="s">
        <v>52</v>
      </c>
      <c r="P10" s="58" t="s">
        <v>233</v>
      </c>
      <c r="Q10" s="57" t="s">
        <v>234</v>
      </c>
      <c r="R10" s="57" t="s">
        <v>235</v>
      </c>
      <c r="S10" s="59" t="s">
        <v>236</v>
      </c>
      <c r="T10" s="542" t="s">
        <v>237</v>
      </c>
      <c r="U10" s="543" t="s">
        <v>238</v>
      </c>
      <c r="V10" s="544" t="s">
        <v>239</v>
      </c>
    </row>
    <row r="11" spans="1:22" ht="13.25" x14ac:dyDescent="0.25">
      <c r="A11" s="60" t="s">
        <v>53</v>
      </c>
      <c r="B11" s="61"/>
      <c r="C11" s="61"/>
      <c r="D11" s="13"/>
      <c r="E11" s="62"/>
      <c r="F11" s="13"/>
      <c r="G11" s="13"/>
      <c r="H11" s="13"/>
      <c r="I11" s="13"/>
      <c r="J11" s="13"/>
      <c r="K11" s="62"/>
      <c r="L11" s="13"/>
      <c r="M11" s="13"/>
      <c r="N11" s="13"/>
      <c r="O11" s="63"/>
      <c r="P11" s="62"/>
      <c r="Q11" s="13"/>
      <c r="R11" s="13"/>
      <c r="S11" s="64"/>
      <c r="T11" s="62"/>
      <c r="U11" s="13"/>
      <c r="V11" s="64"/>
    </row>
    <row r="12" spans="1:22" ht="91.25" x14ac:dyDescent="0.25">
      <c r="A12" s="65" t="s">
        <v>178</v>
      </c>
      <c r="B12" s="66" t="s">
        <v>249</v>
      </c>
      <c r="C12" s="66" t="s">
        <v>246</v>
      </c>
      <c r="D12" s="188" t="s">
        <v>247</v>
      </c>
      <c r="E12" s="38" t="s">
        <v>248</v>
      </c>
      <c r="F12" s="188" t="s">
        <v>790</v>
      </c>
      <c r="G12" s="188" t="s">
        <v>248</v>
      </c>
      <c r="H12" s="188" t="s">
        <v>123</v>
      </c>
      <c r="I12" s="188" t="s">
        <v>123</v>
      </c>
      <c r="J12" s="188" t="s">
        <v>123</v>
      </c>
      <c r="K12" s="67">
        <f>(1211.17*12+19.07*12)/'Average wages'!B4</f>
        <v>0.16247763066662266</v>
      </c>
      <c r="L12" s="192">
        <f>((2*1093.52*12+2*17.12*12)-(1211.17*12+19.07*12))/'Average wages'!B4</f>
        <v>0.13088651896853434</v>
      </c>
      <c r="M12" s="267">
        <v>0</v>
      </c>
      <c r="N12" s="267">
        <f>((1691.52*12+12*26)-(1211.17*12+19.07*12))/'Average wages'!B4/2</f>
        <v>3.2177501898504289E-2</v>
      </c>
      <c r="O12" s="188" t="s">
        <v>801</v>
      </c>
      <c r="P12" s="228" t="str">
        <f>"NSA: AUD 104 per fortnight ("&amp;TEXT(104*26/'Average wages'!B4,"0%")&amp;" of AW). 
YA: AUD 143 per fortnight ("&amp;TEXT(143*26/'Average wages'!B4,"0%")&amp;" of AW)."</f>
        <v>NSA: AUD 104 per fortnight (3% of AW). 
YA: AUD 143 per fortnight (4% of AW).</v>
      </c>
      <c r="Q12" s="227" t="str">
        <f>"NSA: 50% up to AUD 254 per fortnight ("&amp;TEXT(254*26/'Average wages'!B4,"0%")&amp;" of AW), 60% thereafter. 40% for lone parents.
YA: 50% up to AUD 250 per fortnight ("&amp;TEXT(250*26/'Average wages'!B4,"0%")&amp;" of AW), 60% thereafter."</f>
        <v>NSA: 50% up to AUD 254 per fortnight (7% of AW), 60% thereafter. 40% for lone parents.
YA: 50% up to AUD 250 per fortnight (7% of AW), 60% thereafter.</v>
      </c>
      <c r="R12" s="188" t="s">
        <v>248</v>
      </c>
      <c r="S12" s="189" t="s">
        <v>123</v>
      </c>
      <c r="T12" s="41" t="str">
        <f>'Unemployment Assistance'!L12</f>
        <v>G: +/- lower benefit rates but higher income disregards for those aged under 22 on YA.
G: + single people aged 60 or over entitled to higher rate after receiving support for 9 consecutive months.</v>
      </c>
      <c r="U12" s="41" t="s">
        <v>826</v>
      </c>
      <c r="V12" s="42" t="s">
        <v>95</v>
      </c>
    </row>
    <row r="13" spans="1:22" ht="68.400000000000006" x14ac:dyDescent="0.25">
      <c r="A13" s="65" t="s">
        <v>644</v>
      </c>
      <c r="B13" s="66" t="s">
        <v>1400</v>
      </c>
      <c r="C13" s="76" t="s">
        <v>1154</v>
      </c>
      <c r="D13" s="188" t="s">
        <v>95</v>
      </c>
      <c r="E13" s="38" t="s">
        <v>248</v>
      </c>
      <c r="F13" s="188" t="s">
        <v>248</v>
      </c>
      <c r="G13" s="188" t="s">
        <v>248</v>
      </c>
      <c r="H13" s="188" t="s">
        <v>123</v>
      </c>
      <c r="I13" s="188" t="s">
        <v>1155</v>
      </c>
      <c r="J13" s="188" t="s">
        <v>123</v>
      </c>
      <c r="K13" s="67">
        <f>688 *12/'Average wages'!B5</f>
        <v>0.16967369107322847</v>
      </c>
      <c r="L13" s="268">
        <f>(1032.015-688.0125)*12/'Average wages'!B5</f>
        <v>8.4837462083456813E-2</v>
      </c>
      <c r="M13" s="268">
        <f>(1527.375-1032.015)/2*12/'Average wages'!B5</f>
        <v>6.1082528786362236E-2</v>
      </c>
      <c r="N13" s="268">
        <f>(1183.3725-688.0125)/2*12/'Average wages'!B5</f>
        <v>6.1082528786362236E-2</v>
      </c>
      <c r="O13" s="188" t="s">
        <v>1156</v>
      </c>
      <c r="P13" s="38" t="s">
        <v>123</v>
      </c>
      <c r="Q13" s="201">
        <v>1</v>
      </c>
      <c r="R13" s="188" t="s">
        <v>248</v>
      </c>
      <c r="S13" s="189" t="s">
        <v>617</v>
      </c>
      <c r="T13" s="41" t="s">
        <v>95</v>
      </c>
      <c r="U13" s="41" t="s">
        <v>95</v>
      </c>
      <c r="V13" s="42" t="s">
        <v>95</v>
      </c>
    </row>
    <row r="14" spans="1:22" ht="69" x14ac:dyDescent="0.25">
      <c r="A14" s="65" t="s">
        <v>240</v>
      </c>
      <c r="B14" s="66" t="s">
        <v>249</v>
      </c>
      <c r="C14" s="66" t="s">
        <v>963</v>
      </c>
      <c r="D14" s="188">
        <v>18</v>
      </c>
      <c r="E14" s="38" t="s">
        <v>104</v>
      </c>
      <c r="F14" s="188" t="s">
        <v>252</v>
      </c>
      <c r="G14" s="188" t="s">
        <v>252</v>
      </c>
      <c r="H14" s="188" t="s">
        <v>252</v>
      </c>
      <c r="I14" s="188" t="s">
        <v>123</v>
      </c>
      <c r="J14" s="188" t="s">
        <v>104</v>
      </c>
      <c r="K14" s="67">
        <f>940.11*12/'Average wages'!B6</f>
        <v>0.23640488986172484</v>
      </c>
      <c r="L14" s="192">
        <f>626.74*12/'Average wages'!B6</f>
        <v>0.15760325990781657</v>
      </c>
      <c r="M14" s="267">
        <f>0*12/'Average wages'!B6</f>
        <v>0</v>
      </c>
      <c r="N14" s="192">
        <f>(1270.51-940.11)*12/'Average wages'!B6</f>
        <v>8.3084081235508492E-2</v>
      </c>
      <c r="O14" s="188" t="s">
        <v>123</v>
      </c>
      <c r="P14" s="228" t="str">
        <f>"Minimex: EUR 310 (250) net monthly ("&amp;TEXT(310*12/'Average wages'!B6,"0%")&amp;"/"&amp;TEXT(250*12/'Average wages'!B6,"0%")&amp;" of AW) with children (without children)"</f>
        <v>Minimex: EUR 310 (250) net monthly (8%/6% of AW) with children (without children)</v>
      </c>
      <c r="Q14" s="227" t="s">
        <v>1021</v>
      </c>
      <c r="R14" s="188" t="s">
        <v>248</v>
      </c>
      <c r="S14" s="42" t="s">
        <v>1022</v>
      </c>
      <c r="T14" s="41" t="s">
        <v>95</v>
      </c>
      <c r="U14" s="41" t="s">
        <v>95</v>
      </c>
      <c r="V14" s="42" t="s">
        <v>95</v>
      </c>
    </row>
    <row r="15" spans="1:22" ht="103.5" x14ac:dyDescent="0.25">
      <c r="A15" s="68" t="s">
        <v>1024</v>
      </c>
      <c r="B15" s="66" t="s">
        <v>1023</v>
      </c>
      <c r="C15" s="76" t="s">
        <v>253</v>
      </c>
      <c r="D15" s="188" t="s">
        <v>104</v>
      </c>
      <c r="E15" s="38" t="s">
        <v>104</v>
      </c>
      <c r="F15" s="188" t="s">
        <v>791</v>
      </c>
      <c r="G15" s="188" t="s">
        <v>104</v>
      </c>
      <c r="H15" s="188" t="s">
        <v>104</v>
      </c>
      <c r="I15" s="188" t="s">
        <v>104</v>
      </c>
      <c r="J15" s="188" t="s">
        <v>104</v>
      </c>
      <c r="K15" s="67">
        <f>733*12/'Average wages'!B7</f>
        <v>0.15353031806748826</v>
      </c>
      <c r="L15" s="192">
        <f>12*(1136-733)/'Average wages'!B7</f>
        <v>8.4410256727418503E-2</v>
      </c>
      <c r="M15" s="192">
        <f>12*(1250-1136)/2/'Average wages'!B7</f>
        <v>1.1938919686012047E-2</v>
      </c>
      <c r="N15" s="192">
        <f>12*(1002-733)/'Average wages'!B7</f>
        <v>5.634332272872352E-2</v>
      </c>
      <c r="O15" s="188" t="s">
        <v>802</v>
      </c>
      <c r="P15" s="38" t="s">
        <v>1025</v>
      </c>
      <c r="Q15" s="201">
        <v>0.5</v>
      </c>
      <c r="R15" s="188" t="s">
        <v>248</v>
      </c>
      <c r="S15" s="189" t="s">
        <v>254</v>
      </c>
      <c r="T15" s="41" t="s">
        <v>95</v>
      </c>
      <c r="U15" s="41" t="s">
        <v>95</v>
      </c>
      <c r="V15" s="42" t="s">
        <v>95</v>
      </c>
    </row>
    <row r="16" spans="1:22" x14ac:dyDescent="0.25">
      <c r="A16" s="68" t="s">
        <v>56</v>
      </c>
      <c r="B16" s="66" t="s">
        <v>1275</v>
      </c>
      <c r="C16" s="76"/>
      <c r="D16" s="188"/>
      <c r="E16" s="38"/>
      <c r="F16" s="188"/>
      <c r="G16" s="188"/>
      <c r="H16" s="188"/>
      <c r="I16" s="188"/>
      <c r="J16" s="188"/>
      <c r="K16" s="67"/>
      <c r="L16" s="192"/>
      <c r="M16" s="192"/>
      <c r="N16" s="192"/>
      <c r="O16" s="188"/>
      <c r="P16" s="38"/>
      <c r="Q16" s="201"/>
      <c r="R16" s="188"/>
      <c r="S16" s="189"/>
      <c r="T16" s="41"/>
      <c r="U16" s="41"/>
      <c r="V16" s="42"/>
    </row>
    <row r="17" spans="1:22" ht="92" x14ac:dyDescent="0.25">
      <c r="A17" s="68" t="s">
        <v>241</v>
      </c>
      <c r="B17" s="188" t="s">
        <v>249</v>
      </c>
      <c r="C17" s="269" t="s">
        <v>1052</v>
      </c>
      <c r="D17" s="189" t="s">
        <v>104</v>
      </c>
      <c r="E17" s="188" t="s">
        <v>248</v>
      </c>
      <c r="F17" s="188" t="s">
        <v>248</v>
      </c>
      <c r="G17" s="188" t="s">
        <v>248</v>
      </c>
      <c r="H17" s="188" t="s">
        <v>255</v>
      </c>
      <c r="I17" s="188" t="s">
        <v>123</v>
      </c>
      <c r="J17" s="188" t="s">
        <v>256</v>
      </c>
      <c r="K17" s="67">
        <v>9.7699999999999995E-2</v>
      </c>
      <c r="L17" s="75">
        <v>7.3300000000000004E-2</v>
      </c>
      <c r="M17" s="192">
        <v>5.5599999999999997E-2</v>
      </c>
      <c r="N17" s="192">
        <v>5.1700000000000003E-2</v>
      </c>
      <c r="O17" s="41" t="s">
        <v>123</v>
      </c>
      <c r="P17" s="228" t="s">
        <v>123</v>
      </c>
      <c r="Q17" s="201">
        <v>0.7</v>
      </c>
      <c r="R17" s="188" t="s">
        <v>248</v>
      </c>
      <c r="S17" s="42" t="s">
        <v>257</v>
      </c>
      <c r="T17" s="44" t="s">
        <v>95</v>
      </c>
      <c r="U17" s="44" t="s">
        <v>95</v>
      </c>
      <c r="V17" s="77" t="s">
        <v>95</v>
      </c>
    </row>
    <row r="18" spans="1:22" ht="69" x14ac:dyDescent="0.25">
      <c r="A18" s="65" t="s">
        <v>58</v>
      </c>
      <c r="B18" s="66" t="s">
        <v>249</v>
      </c>
      <c r="C18" s="270" t="s">
        <v>258</v>
      </c>
      <c r="D18" s="188">
        <v>18</v>
      </c>
      <c r="E18" s="38" t="s">
        <v>248</v>
      </c>
      <c r="F18" s="188" t="s">
        <v>792</v>
      </c>
      <c r="G18" s="188" t="s">
        <v>248</v>
      </c>
      <c r="H18" s="188" t="s">
        <v>123</v>
      </c>
      <c r="I18" s="43" t="s">
        <v>123</v>
      </c>
      <c r="J18" s="188" t="s">
        <v>792</v>
      </c>
      <c r="K18" s="67">
        <f>11554*12/'Average wages'!B10</f>
        <v>0.31720416765241771</v>
      </c>
      <c r="L18" s="192">
        <f>11554*12/'Average wages'!B10</f>
        <v>0.31720416765241771</v>
      </c>
      <c r="M18" s="192">
        <f>(15355-11554)/2*12/'Average wages'!B10</f>
        <v>5.2176434189321434E-2</v>
      </c>
      <c r="N18" s="192">
        <f>(15355-11554)/2*12/'Average wages'!B10</f>
        <v>5.2176434189321434E-2</v>
      </c>
      <c r="O18" s="188" t="s">
        <v>803</v>
      </c>
      <c r="P18" s="38" t="s">
        <v>1027</v>
      </c>
      <c r="Q18" s="201">
        <v>1</v>
      </c>
      <c r="R18" s="188" t="s">
        <v>248</v>
      </c>
      <c r="S18" s="189" t="s">
        <v>259</v>
      </c>
      <c r="T18" s="188" t="s">
        <v>818</v>
      </c>
      <c r="U18" s="44" t="s">
        <v>95</v>
      </c>
      <c r="V18" s="77" t="s">
        <v>1026</v>
      </c>
    </row>
    <row r="19" spans="1:22" ht="46" x14ac:dyDescent="0.25">
      <c r="A19" s="65" t="s">
        <v>59</v>
      </c>
      <c r="B19" s="66" t="s">
        <v>249</v>
      </c>
      <c r="C19" s="76" t="s">
        <v>1276</v>
      </c>
      <c r="D19" s="188" t="s">
        <v>95</v>
      </c>
      <c r="E19" s="38" t="s">
        <v>260</v>
      </c>
      <c r="F19" s="188" t="s">
        <v>260</v>
      </c>
      <c r="G19" s="188" t="s">
        <v>260</v>
      </c>
      <c r="H19" s="188" t="s">
        <v>123</v>
      </c>
      <c r="I19" s="188" t="s">
        <v>123</v>
      </c>
      <c r="J19" s="188" t="s">
        <v>123</v>
      </c>
      <c r="K19" s="67">
        <f xml:space="preserve"> 150*12/'Average wages'!B11</f>
        <v>0.10819433576024118</v>
      </c>
      <c r="L19" s="199">
        <f xml:space="preserve"> 150*0.8*12/'Average wages'!B11</f>
        <v>8.6555468608192937E-2</v>
      </c>
      <c r="M19" s="192">
        <f xml:space="preserve"> 150*1.2*12/'Average wages'!B11</f>
        <v>0.12983320291228942</v>
      </c>
      <c r="N19" s="192">
        <f xml:space="preserve"> (150*1.2+15/2)*12/'Average wages'!B11</f>
        <v>0.13524291970030147</v>
      </c>
      <c r="O19" s="188" t="s">
        <v>804</v>
      </c>
      <c r="P19" s="38" t="s">
        <v>1277</v>
      </c>
      <c r="Q19" s="201" t="s">
        <v>812</v>
      </c>
      <c r="R19" s="188" t="s">
        <v>248</v>
      </c>
      <c r="S19" s="42" t="s">
        <v>1278</v>
      </c>
      <c r="T19" s="41" t="s">
        <v>95</v>
      </c>
      <c r="U19" s="44" t="s">
        <v>95</v>
      </c>
      <c r="V19" s="77" t="s">
        <v>95</v>
      </c>
    </row>
    <row r="20" spans="1:22" ht="57.5" x14ac:dyDescent="0.25">
      <c r="A20" s="65" t="s">
        <v>60</v>
      </c>
      <c r="B20" s="66" t="s">
        <v>249</v>
      </c>
      <c r="C20" s="270" t="s">
        <v>261</v>
      </c>
      <c r="D20" s="188" t="s">
        <v>95</v>
      </c>
      <c r="E20" s="38" t="s">
        <v>248</v>
      </c>
      <c r="F20" s="188" t="s">
        <v>248</v>
      </c>
      <c r="G20" s="188" t="s">
        <v>248</v>
      </c>
      <c r="H20" s="188" t="s">
        <v>123</v>
      </c>
      <c r="I20" s="188" t="s">
        <v>123</v>
      </c>
      <c r="J20" s="188" t="s">
        <v>793</v>
      </c>
      <c r="K20" s="67">
        <f>502.21*12/'Average wages'!B12</f>
        <v>0.1318171401589914</v>
      </c>
      <c r="L20" s="192">
        <f>502.21*(0.85*2-1)*12/'Average wages'!B12</f>
        <v>9.2271998111293968E-2</v>
      </c>
      <c r="M20" s="192">
        <f>502.21*(0.63*2-0.05)/2*12/'Average wages'!B12</f>
        <v>7.9749369796189795E-2</v>
      </c>
      <c r="N20" s="192">
        <f>502.21*(1.14+0.63*2-0.05-1)/2*12/'Average wages'!B12</f>
        <v>8.89765696073192E-2</v>
      </c>
      <c r="O20" s="188" t="s">
        <v>805</v>
      </c>
      <c r="P20" s="228" t="str">
        <f>"100% of net earnings up to EUR 150 per working adult per month ("&amp;TEXT(150*12/'Average wages'!B12,"0%")&amp;" of AW)"</f>
        <v>100% of net earnings up to EUR 150 per working adult per month (4% of AW)</v>
      </c>
      <c r="Q20" s="227" t="s">
        <v>1279</v>
      </c>
      <c r="R20" s="188" t="s">
        <v>248</v>
      </c>
      <c r="S20" s="189" t="s">
        <v>1280</v>
      </c>
      <c r="T20" s="41" t="s">
        <v>819</v>
      </c>
      <c r="U20" s="44" t="s">
        <v>95</v>
      </c>
      <c r="V20" s="77" t="s">
        <v>827</v>
      </c>
    </row>
    <row r="21" spans="1:22" ht="81" x14ac:dyDescent="0.25">
      <c r="A21" s="65" t="s">
        <v>242</v>
      </c>
      <c r="B21" s="66" t="s">
        <v>249</v>
      </c>
      <c r="C21" s="66" t="s">
        <v>725</v>
      </c>
      <c r="D21" s="188" t="s">
        <v>1028</v>
      </c>
      <c r="E21" s="38" t="s">
        <v>248</v>
      </c>
      <c r="F21" s="188" t="s">
        <v>248</v>
      </c>
      <c r="G21" s="188" t="s">
        <v>248</v>
      </c>
      <c r="H21" s="188" t="s">
        <v>123</v>
      </c>
      <c r="I21" s="188" t="s">
        <v>123</v>
      </c>
      <c r="J21" s="188" t="s">
        <v>123</v>
      </c>
      <c r="K21" s="67">
        <f>559.74*12/'Average wages'!$B$13</f>
        <v>0.1758900850746534</v>
      </c>
      <c r="L21" s="192">
        <f>(839.61-559.74)*12/'Average wages'!$B$13</f>
        <v>8.7945042537326698E-2</v>
      </c>
      <c r="M21" s="192">
        <f>0.5*(1007.53-559.74)*12/'Average wages'!$B$13</f>
        <v>7.0355719794528745E-2</v>
      </c>
      <c r="N21" s="192">
        <f>(958.36-839.61)*12/'Average wages'!$B$13</f>
        <v>3.7315445747338215E-2</v>
      </c>
      <c r="O21" s="188" t="s">
        <v>262</v>
      </c>
      <c r="P21" s="38" t="s">
        <v>813</v>
      </c>
      <c r="Q21" s="201" t="s">
        <v>814</v>
      </c>
      <c r="R21" s="188" t="s">
        <v>248</v>
      </c>
      <c r="S21" s="189" t="s">
        <v>726</v>
      </c>
      <c r="T21" s="41" t="s">
        <v>95</v>
      </c>
      <c r="U21" s="44" t="s">
        <v>95</v>
      </c>
      <c r="V21" s="77" t="s">
        <v>95</v>
      </c>
    </row>
    <row r="22" spans="1:22" ht="138" x14ac:dyDescent="0.25">
      <c r="A22" s="65" t="s">
        <v>616</v>
      </c>
      <c r="B22" s="271" t="s">
        <v>249</v>
      </c>
      <c r="C22" s="271" t="s">
        <v>600</v>
      </c>
      <c r="D22" s="41">
        <v>15</v>
      </c>
      <c r="E22" s="228" t="s">
        <v>248</v>
      </c>
      <c r="F22" s="41" t="s">
        <v>248</v>
      </c>
      <c r="G22" s="41" t="s">
        <v>248</v>
      </c>
      <c r="H22" s="41" t="s">
        <v>1168</v>
      </c>
      <c r="I22" s="41" t="s">
        <v>123</v>
      </c>
      <c r="J22" s="41" t="s">
        <v>248</v>
      </c>
      <c r="K22" s="272">
        <f>432*12/'Average wages'!B14</f>
        <v>9.9493635678869013E-2</v>
      </c>
      <c r="L22" s="268">
        <f>(2*389-432)*12/'Average wages'!B14</f>
        <v>7.9687032279834896E-2</v>
      </c>
      <c r="M22" s="268">
        <f>(308+250)/2*12/'Average wages'!B14</f>
        <v>6.425630637593624E-2</v>
      </c>
      <c r="N22" s="268">
        <f>(432*0.36)*12/'Average wages'!B14</f>
        <v>3.5817708844392837E-2</v>
      </c>
      <c r="O22" s="41" t="s">
        <v>1169</v>
      </c>
      <c r="P22" s="228" t="str">
        <f>"EUR 100/month ("&amp;TEXT(100*100*12/'Average wages'!B14,0)&amp;"% of AW)"</f>
        <v>EUR 100/month (2% of AW)</v>
      </c>
      <c r="Q22" s="227" t="str">
        <f>"80% up to EUR 1000/month ("&amp;TEXT(100*1000*12/'Average wages'!B14,0)&amp;"% of AW)
Then 90% up to EUR 1200/month ("&amp;TEXT(100*1200*12/'Average wages'!B14,0)&amp;"% of AW), EUR1500/month ("&amp;TEXT(100*1500*12/'Average wages'!B14,0)&amp;"% of AW if children)
100% thereafter"</f>
        <v>80% up to EUR 1000/month (23% of AW)
Then 90% up to EUR 1200/month (28% of AW), EUR1500/month (35% of AW if children)
100% thereafter</v>
      </c>
      <c r="R22" s="41" t="s">
        <v>248</v>
      </c>
      <c r="S22" s="42" t="s">
        <v>1231</v>
      </c>
      <c r="T22" s="41" t="s">
        <v>95</v>
      </c>
      <c r="U22" s="44" t="s">
        <v>95</v>
      </c>
      <c r="V22" s="77" t="s">
        <v>1170</v>
      </c>
    </row>
    <row r="23" spans="1:22" ht="57.5" x14ac:dyDescent="0.25">
      <c r="A23" s="65" t="s">
        <v>63</v>
      </c>
      <c r="B23" s="271" t="s">
        <v>249</v>
      </c>
      <c r="C23" s="270" t="s">
        <v>1281</v>
      </c>
      <c r="D23" s="41">
        <v>18</v>
      </c>
      <c r="E23" s="228" t="s">
        <v>248</v>
      </c>
      <c r="F23" s="41" t="s">
        <v>248</v>
      </c>
      <c r="G23" s="41" t="s">
        <v>248</v>
      </c>
      <c r="H23" s="41" t="s">
        <v>123</v>
      </c>
      <c r="I23" s="41" t="s">
        <v>123</v>
      </c>
      <c r="J23" s="41" t="s">
        <v>123</v>
      </c>
      <c r="K23" s="272">
        <f>200*12/'Average wages'!B15</f>
        <v>0.11353307276961747</v>
      </c>
      <c r="L23" s="268">
        <f>100*12/'Average wages'!B15</f>
        <v>5.6766536384808733E-2</v>
      </c>
      <c r="M23" s="268">
        <f>50*12/'Average wages'!B15</f>
        <v>2.8383268192404366E-2</v>
      </c>
      <c r="N23" s="268">
        <f>(50+100)/2*12/'Average wages'!B15</f>
        <v>4.2574902288606546E-2</v>
      </c>
      <c r="O23" s="41" t="s">
        <v>123</v>
      </c>
      <c r="P23" s="228" t="s">
        <v>1282</v>
      </c>
      <c r="Q23" s="227" t="s">
        <v>1283</v>
      </c>
      <c r="R23" s="41" t="s">
        <v>248</v>
      </c>
      <c r="S23" s="42" t="s">
        <v>1284</v>
      </c>
      <c r="T23" s="41" t="s">
        <v>1285</v>
      </c>
      <c r="U23" s="44" t="s">
        <v>95</v>
      </c>
      <c r="V23" s="77" t="s">
        <v>95</v>
      </c>
    </row>
    <row r="24" spans="1:22" ht="23" x14ac:dyDescent="0.25">
      <c r="A24" s="65" t="s">
        <v>313</v>
      </c>
      <c r="B24" s="66" t="s">
        <v>249</v>
      </c>
      <c r="C24" s="66" t="s">
        <v>263</v>
      </c>
      <c r="D24" s="66">
        <v>18</v>
      </c>
      <c r="E24" s="38" t="s">
        <v>248</v>
      </c>
      <c r="F24" s="188" t="s">
        <v>248</v>
      </c>
      <c r="G24" s="188" t="s">
        <v>248</v>
      </c>
      <c r="H24" s="188" t="s">
        <v>248</v>
      </c>
      <c r="I24" s="188" t="s">
        <v>123</v>
      </c>
      <c r="J24" s="188" t="s">
        <v>123</v>
      </c>
      <c r="K24" s="67">
        <v>4.4574770073263471E-2</v>
      </c>
      <c r="L24" s="192">
        <v>0</v>
      </c>
      <c r="M24" s="192">
        <v>0</v>
      </c>
      <c r="N24" s="192">
        <v>0</v>
      </c>
      <c r="O24" s="188" t="s">
        <v>123</v>
      </c>
      <c r="P24" s="38" t="s">
        <v>123</v>
      </c>
      <c r="Q24" s="201" t="s">
        <v>95</v>
      </c>
      <c r="R24" s="188" t="s">
        <v>248</v>
      </c>
      <c r="S24" s="189" t="s">
        <v>264</v>
      </c>
      <c r="T24" s="41" t="s">
        <v>95</v>
      </c>
      <c r="U24" s="44" t="s">
        <v>95</v>
      </c>
      <c r="V24" s="77" t="s">
        <v>95</v>
      </c>
    </row>
    <row r="25" spans="1:22" ht="57.5" x14ac:dyDescent="0.25">
      <c r="A25" s="273" t="s">
        <v>1286</v>
      </c>
      <c r="B25" s="69" t="s">
        <v>1287</v>
      </c>
      <c r="C25" s="274" t="s">
        <v>608</v>
      </c>
      <c r="D25" s="70">
        <v>18</v>
      </c>
      <c r="E25" s="71" t="s">
        <v>123</v>
      </c>
      <c r="F25" s="70" t="s">
        <v>123</v>
      </c>
      <c r="G25" s="70" t="s">
        <v>248</v>
      </c>
      <c r="H25" s="70" t="s">
        <v>123</v>
      </c>
      <c r="I25" s="70" t="s">
        <v>123</v>
      </c>
      <c r="J25" s="70" t="s">
        <v>104</v>
      </c>
      <c r="K25" s="74">
        <f>207709*12/'Average wages'!B17</f>
        <v>0.26954478973529467</v>
      </c>
      <c r="L25" s="75">
        <f>(322334-207709)*12/'Average wages'!B17</f>
        <v>0.14874931526033128</v>
      </c>
      <c r="M25" s="275">
        <v>0</v>
      </c>
      <c r="N25" s="267">
        <v>0</v>
      </c>
      <c r="O25" s="70" t="s">
        <v>1288</v>
      </c>
      <c r="P25" s="71" t="s">
        <v>123</v>
      </c>
      <c r="Q25" s="72">
        <v>1</v>
      </c>
      <c r="R25" s="70" t="s">
        <v>104</v>
      </c>
      <c r="S25" s="73" t="s">
        <v>1289</v>
      </c>
      <c r="T25" s="41" t="s">
        <v>95</v>
      </c>
      <c r="U25" s="44" t="s">
        <v>95</v>
      </c>
      <c r="V25" s="77" t="s">
        <v>1290</v>
      </c>
    </row>
    <row r="26" spans="1:22" ht="80.5" x14ac:dyDescent="0.25">
      <c r="A26" s="65" t="s">
        <v>662</v>
      </c>
      <c r="B26" s="66" t="s">
        <v>249</v>
      </c>
      <c r="C26" s="76" t="s">
        <v>1090</v>
      </c>
      <c r="D26" s="188" t="s">
        <v>95</v>
      </c>
      <c r="E26" s="38" t="s">
        <v>248</v>
      </c>
      <c r="F26" s="188" t="s">
        <v>248</v>
      </c>
      <c r="G26" s="188" t="s">
        <v>248</v>
      </c>
      <c r="H26" s="188" t="s">
        <v>123</v>
      </c>
      <c r="I26" s="188" t="s">
        <v>123</v>
      </c>
      <c r="J26" s="188" t="s">
        <v>123</v>
      </c>
      <c r="K26" s="67">
        <f>201*52/'Average wages'!B18</f>
        <v>0.22388319659252839</v>
      </c>
      <c r="L26" s="192">
        <f>134.7*52/'Average wages'!B18</f>
        <v>0.15003515711947052</v>
      </c>
      <c r="M26" s="192">
        <f>36*52/'Average wages'!B18</f>
        <v>4.0098482971796127E-2</v>
      </c>
      <c r="N26" s="192">
        <f>M26</f>
        <v>4.0098482971796127E-2</v>
      </c>
      <c r="O26" s="188" t="s">
        <v>123</v>
      </c>
      <c r="P26" s="38" t="s">
        <v>123</v>
      </c>
      <c r="Q26" s="201" t="s">
        <v>1091</v>
      </c>
      <c r="R26" s="188" t="s">
        <v>248</v>
      </c>
      <c r="S26" s="189" t="s">
        <v>1092</v>
      </c>
      <c r="T26" s="41" t="s">
        <v>820</v>
      </c>
      <c r="U26" s="44" t="s">
        <v>95</v>
      </c>
      <c r="V26" s="77" t="s">
        <v>95</v>
      </c>
    </row>
    <row r="27" spans="1:22" ht="103.5" x14ac:dyDescent="0.25">
      <c r="A27" s="65" t="s">
        <v>67</v>
      </c>
      <c r="B27" s="66" t="s">
        <v>249</v>
      </c>
      <c r="C27" s="270" t="s">
        <v>1029</v>
      </c>
      <c r="D27" s="188">
        <v>20</v>
      </c>
      <c r="E27" s="38" t="s">
        <v>248</v>
      </c>
      <c r="F27" s="188" t="s">
        <v>248</v>
      </c>
      <c r="G27" s="188" t="s">
        <v>248</v>
      </c>
      <c r="H27" s="188" t="s">
        <v>123</v>
      </c>
      <c r="I27" s="188" t="s">
        <v>123</v>
      </c>
      <c r="J27" s="188" t="s">
        <v>265</v>
      </c>
      <c r="K27" s="67">
        <f>0.2*8804*12/'Average wages'!B19</f>
        <v>0.13450407163733821</v>
      </c>
      <c r="L27" s="192">
        <f>(0.275*8804*12-0.2*8804*12)/'Average wages'!B19</f>
        <v>5.0439026864001833E-2</v>
      </c>
      <c r="M27" s="192">
        <f>(0.335*8804*12-0.275*8804*12)/2/'Average wages'!B19</f>
        <v>2.017561074560072E-2</v>
      </c>
      <c r="N27" s="192">
        <f>(0.39*8804*12-0.2*8804*12)/2/'Average wages'!B19</f>
        <v>6.3889434027735642E-2</v>
      </c>
      <c r="O27" s="188" t="s">
        <v>123</v>
      </c>
      <c r="P27" s="38" t="str">
        <f>"ILS 528/month ("&amp;TEXT(528*12*100/'Average wages'!B19,0)&amp;"% of AW) for single people without dependents aged under 55, ILS 729/month ("&amp;TEXT(729*12*100/'Average wages'!B19,0)&amp;"% of AW) for those aged under 55 with dependents, ILS 1372/month ("&amp;TEXT(1372*12*100/'Average wages'!B19,0)&amp;"% of AW) for single people without dependents aged 55 and over, ILS 1794/month ("&amp;TEXT(1794*12*100/'Average wages'!B19,0)&amp;"% of AW) for those aged 55 and over with dependents"</f>
        <v>ILS 528/month (4% of AW) for single people without dependents aged under 55, ILS 729/month (6% of AW) for those aged under 55 with dependents, ILS 1372/month (10% of AW) for single people without dependents aged 55 and over, ILS 1794/month (14% of AW) for those aged 55 and over with dependents</v>
      </c>
      <c r="Q27" s="201" t="s">
        <v>815</v>
      </c>
      <c r="R27" s="188" t="s">
        <v>104</v>
      </c>
      <c r="S27" s="189" t="s">
        <v>266</v>
      </c>
      <c r="T27" s="188" t="s">
        <v>821</v>
      </c>
      <c r="U27" s="44" t="s">
        <v>95</v>
      </c>
      <c r="V27" s="77" t="s">
        <v>95</v>
      </c>
    </row>
    <row r="28" spans="1:22" ht="172.5" x14ac:dyDescent="0.25">
      <c r="A28" s="65" t="s">
        <v>68</v>
      </c>
      <c r="B28" s="66" t="s">
        <v>249</v>
      </c>
      <c r="C28" s="271" t="s">
        <v>1053</v>
      </c>
      <c r="D28" s="188" t="s">
        <v>95</v>
      </c>
      <c r="E28" s="38" t="s">
        <v>248</v>
      </c>
      <c r="F28" s="188" t="s">
        <v>1054</v>
      </c>
      <c r="G28" s="188" t="s">
        <v>1054</v>
      </c>
      <c r="H28" s="188" t="s">
        <v>123</v>
      </c>
      <c r="I28" s="188" t="s">
        <v>1054</v>
      </c>
      <c r="J28" s="41" t="s">
        <v>794</v>
      </c>
      <c r="K28" s="276">
        <v>0.19159999999999999</v>
      </c>
      <c r="L28" s="267">
        <v>7.6600000000000001E-2</v>
      </c>
      <c r="M28" s="267">
        <v>3.8350000000000002E-2</v>
      </c>
      <c r="N28" s="267" t="s">
        <v>123</v>
      </c>
      <c r="O28" s="277" t="s">
        <v>1055</v>
      </c>
      <c r="P28" s="38" t="s">
        <v>1071</v>
      </c>
      <c r="Q28" s="201" t="s">
        <v>1072</v>
      </c>
      <c r="R28" s="188" t="s">
        <v>248</v>
      </c>
      <c r="S28" s="189" t="s">
        <v>1056</v>
      </c>
      <c r="T28" s="188" t="s">
        <v>1057</v>
      </c>
      <c r="U28" s="44" t="s">
        <v>1058</v>
      </c>
      <c r="V28" s="77" t="s">
        <v>1059</v>
      </c>
    </row>
    <row r="29" spans="1:22" ht="80.5" x14ac:dyDescent="0.25">
      <c r="A29" s="278" t="s">
        <v>69</v>
      </c>
      <c r="B29" s="271" t="s">
        <v>1401</v>
      </c>
      <c r="C29" s="270" t="s">
        <v>267</v>
      </c>
      <c r="D29" s="41" t="s">
        <v>95</v>
      </c>
      <c r="E29" s="228" t="s">
        <v>248</v>
      </c>
      <c r="F29" s="41" t="s">
        <v>248</v>
      </c>
      <c r="G29" s="41" t="s">
        <v>248</v>
      </c>
      <c r="H29" s="41" t="s">
        <v>123</v>
      </c>
      <c r="I29" s="41" t="s">
        <v>123</v>
      </c>
      <c r="J29" s="41" t="s">
        <v>104</v>
      </c>
      <c r="K29" s="272">
        <v>0.18770000000000001</v>
      </c>
      <c r="L29" s="268">
        <v>0.1081</v>
      </c>
      <c r="M29" s="268">
        <v>8.2799999999999999E-2</v>
      </c>
      <c r="N29" s="268">
        <v>0.1394</v>
      </c>
      <c r="O29" s="279" t="s">
        <v>1060</v>
      </c>
      <c r="P29" s="228" t="str">
        <f>"JPY 15,200/month ("&amp;TEXT(15200*12*100/'Average wages'!B19,0)&amp;"% of AW)"</f>
        <v>JPY 15,200/month (116% of AW)</v>
      </c>
      <c r="Q29" s="227" t="str">
        <f>"100% between disregard level and JPY 19,000 per month ("&amp;TEXT(19000*12*100/'Average wages'!B19,0)&amp;"% of AW)
90% above this level"</f>
        <v>100% between disregard level and JPY 19,000 per month (145% of AW)
90% above this level</v>
      </c>
      <c r="R29" s="41" t="s">
        <v>248</v>
      </c>
      <c r="S29" s="42" t="s">
        <v>672</v>
      </c>
      <c r="T29" s="41" t="s">
        <v>822</v>
      </c>
      <c r="U29" s="44" t="s">
        <v>95</v>
      </c>
      <c r="V29" s="77" t="s">
        <v>95</v>
      </c>
    </row>
    <row r="30" spans="1:22" ht="24" x14ac:dyDescent="0.25">
      <c r="A30" s="65" t="s">
        <v>70</v>
      </c>
      <c r="B30" s="260" t="s">
        <v>1447</v>
      </c>
      <c r="C30" s="76"/>
      <c r="D30" s="188"/>
      <c r="E30" s="38"/>
      <c r="F30" s="188"/>
      <c r="G30" s="188"/>
      <c r="H30" s="188"/>
      <c r="I30" s="188"/>
      <c r="J30" s="188"/>
      <c r="K30" s="67"/>
      <c r="L30" s="192"/>
      <c r="M30" s="192"/>
      <c r="N30" s="192"/>
      <c r="O30" s="188"/>
      <c r="P30" s="38"/>
      <c r="Q30" s="201"/>
      <c r="R30" s="188"/>
      <c r="S30" s="189"/>
      <c r="T30" s="41"/>
      <c r="U30" s="44"/>
      <c r="V30" s="77"/>
    </row>
    <row r="31" spans="1:22" ht="69" x14ac:dyDescent="0.25">
      <c r="A31" s="256" t="s">
        <v>85</v>
      </c>
      <c r="B31" s="66" t="s">
        <v>1291</v>
      </c>
      <c r="C31" s="280" t="s">
        <v>1292</v>
      </c>
      <c r="D31" s="188" t="s">
        <v>95</v>
      </c>
      <c r="E31" s="38" t="s">
        <v>248</v>
      </c>
      <c r="F31" s="188" t="s">
        <v>248</v>
      </c>
      <c r="G31" s="188" t="s">
        <v>248</v>
      </c>
      <c r="H31" s="188" t="s">
        <v>123</v>
      </c>
      <c r="I31" s="188" t="s">
        <v>123</v>
      </c>
      <c r="J31" s="188" t="s">
        <v>123</v>
      </c>
      <c r="K31" s="276">
        <f>64*12/'Average wages'!B23</f>
        <v>5.9476546946809802E-2</v>
      </c>
      <c r="L31" s="267">
        <f>64*12/'Average wages'!B23</f>
        <v>5.9476546946809802E-2</v>
      </c>
      <c r="M31" s="267">
        <f>80*12/'Average wages'!B23</f>
        <v>7.4345683683512243E-2</v>
      </c>
      <c r="N31" s="267">
        <f>80*12/'Average wages'!B23</f>
        <v>7.4345683683512243E-2</v>
      </c>
      <c r="O31" s="188" t="s">
        <v>637</v>
      </c>
      <c r="P31" s="38" t="s">
        <v>651</v>
      </c>
      <c r="Q31" s="201" t="s">
        <v>1293</v>
      </c>
      <c r="R31" s="188" t="s">
        <v>248</v>
      </c>
      <c r="S31" s="189" t="s">
        <v>1294</v>
      </c>
      <c r="T31" s="41" t="s">
        <v>95</v>
      </c>
      <c r="U31" s="41" t="s">
        <v>95</v>
      </c>
      <c r="V31" s="42" t="s">
        <v>1295</v>
      </c>
    </row>
    <row r="32" spans="1:22" ht="103.5" x14ac:dyDescent="0.25">
      <c r="A32" s="281" t="s">
        <v>86</v>
      </c>
      <c r="B32" s="271" t="s">
        <v>249</v>
      </c>
      <c r="C32" s="270" t="s">
        <v>643</v>
      </c>
      <c r="D32" s="41" t="s">
        <v>95</v>
      </c>
      <c r="E32" s="228" t="s">
        <v>248</v>
      </c>
      <c r="F32" s="41" t="s">
        <v>248</v>
      </c>
      <c r="G32" s="41" t="s">
        <v>248</v>
      </c>
      <c r="H32" s="41" t="s">
        <v>123</v>
      </c>
      <c r="I32" s="41" t="s">
        <v>795</v>
      </c>
      <c r="J32" s="41" t="s">
        <v>123</v>
      </c>
      <c r="K32" s="272">
        <f>125*12/'Average wages'!B24</f>
        <v>9.1321319163135295E-2</v>
      </c>
      <c r="L32" s="268">
        <f>125*0.8*12/'Average wages'!B24</f>
        <v>7.3057055330508228E-2</v>
      </c>
      <c r="M32" s="268">
        <f>125*0.7*12/'Average wages'!B24</f>
        <v>6.3924923414194701E-2</v>
      </c>
      <c r="N32" s="268">
        <f>125*(0.8+0.7)/2*12/'Average wages'!B24</f>
        <v>6.8490989372351471E-2</v>
      </c>
      <c r="O32" s="41" t="s">
        <v>1296</v>
      </c>
      <c r="P32" s="228" t="s">
        <v>737</v>
      </c>
      <c r="Q32" s="227" t="s">
        <v>645</v>
      </c>
      <c r="R32" s="41" t="s">
        <v>248</v>
      </c>
      <c r="S32" s="42" t="s">
        <v>1297</v>
      </c>
      <c r="T32" s="41" t="s">
        <v>95</v>
      </c>
      <c r="U32" s="41" t="s">
        <v>646</v>
      </c>
      <c r="V32" s="42" t="s">
        <v>95</v>
      </c>
    </row>
    <row r="33" spans="1:22" ht="46" x14ac:dyDescent="0.25">
      <c r="A33" s="65" t="s">
        <v>485</v>
      </c>
      <c r="B33" s="66" t="s">
        <v>249</v>
      </c>
      <c r="C33" s="76" t="s">
        <v>1030</v>
      </c>
      <c r="D33" s="188" t="s">
        <v>787</v>
      </c>
      <c r="E33" s="38" t="s">
        <v>248</v>
      </c>
      <c r="F33" s="188" t="s">
        <v>248</v>
      </c>
      <c r="G33" s="188" t="s">
        <v>248</v>
      </c>
      <c r="H33" s="188" t="s">
        <v>123</v>
      </c>
      <c r="I33" s="188" t="s">
        <v>123</v>
      </c>
      <c r="J33" s="188" t="s">
        <v>123</v>
      </c>
      <c r="K33" s="67">
        <f>751.46*12/'Average wages'!$B$25</f>
        <v>0.15536757188627115</v>
      </c>
      <c r="L33" s="75">
        <f>751.46*12/'Average wages'!$B$25</f>
        <v>0.15536757188627115</v>
      </c>
      <c r="M33" s="192">
        <f>233.32*12/'Average wages'!$B$25</f>
        <v>4.8239908807527723E-2</v>
      </c>
      <c r="N33" s="192">
        <f>68.96*12/'Average wages'!$B$25</f>
        <v>1.4257775207299466E-2</v>
      </c>
      <c r="O33" s="188" t="str">
        <f>"Common expenses ("&amp;ROUND(100*K33,1)&amp;"% of AW)"&amp;CHAR(10)&amp;"Expensive life allowance (Allocation de vie chère)"</f>
        <v>Common expenses (15.5% of AW)
Expensive life allowance (Allocation de vie chère)</v>
      </c>
      <c r="P33" s="38" t="s">
        <v>123</v>
      </c>
      <c r="Q33" s="201">
        <v>0.75</v>
      </c>
      <c r="R33" s="188" t="s">
        <v>248</v>
      </c>
      <c r="S33" s="189" t="s">
        <v>274</v>
      </c>
      <c r="T33" s="41" t="s">
        <v>95</v>
      </c>
      <c r="U33" s="44" t="s">
        <v>95</v>
      </c>
      <c r="V33" s="77" t="s">
        <v>95</v>
      </c>
    </row>
    <row r="34" spans="1:22" ht="46" x14ac:dyDescent="0.25">
      <c r="A34" s="65" t="s">
        <v>72</v>
      </c>
      <c r="B34" s="271" t="s">
        <v>249</v>
      </c>
      <c r="C34" s="270" t="s">
        <v>703</v>
      </c>
      <c r="D34" s="41" t="s">
        <v>788</v>
      </c>
      <c r="E34" s="228" t="s">
        <v>248</v>
      </c>
      <c r="F34" s="41" t="s">
        <v>248</v>
      </c>
      <c r="G34" s="41" t="s">
        <v>248</v>
      </c>
      <c r="H34" s="41" t="s">
        <v>123</v>
      </c>
      <c r="I34" s="41" t="s">
        <v>123</v>
      </c>
      <c r="J34" s="41" t="s">
        <v>796</v>
      </c>
      <c r="K34" s="272">
        <f>11996/'Average wages'!B26</f>
        <v>0.21873399096273025</v>
      </c>
      <c r="L34" s="268">
        <f>(17138-11996)/'Average wages'!B26</f>
        <v>9.3758768050213326E-2</v>
      </c>
      <c r="M34" s="268">
        <f>(17138-17138)/2*12/'Average wages'!B26</f>
        <v>0</v>
      </c>
      <c r="N34" s="268">
        <f>(11996-11996)/'Average wages'!B26</f>
        <v>0</v>
      </c>
      <c r="O34" s="41" t="s">
        <v>806</v>
      </c>
      <c r="P34" s="228" t="s">
        <v>123</v>
      </c>
      <c r="Q34" s="227">
        <v>1</v>
      </c>
      <c r="R34" s="41" t="s">
        <v>248</v>
      </c>
      <c r="S34" s="42" t="s">
        <v>269</v>
      </c>
      <c r="T34" s="41" t="s">
        <v>823</v>
      </c>
      <c r="U34" s="41" t="s">
        <v>95</v>
      </c>
      <c r="V34" s="42" t="s">
        <v>95</v>
      </c>
    </row>
    <row r="35" spans="1:22" ht="24" x14ac:dyDescent="0.25">
      <c r="A35" s="68" t="s">
        <v>243</v>
      </c>
      <c r="B35" s="260" t="s">
        <v>1447</v>
      </c>
      <c r="C35" s="40"/>
      <c r="D35" s="66"/>
      <c r="E35" s="38"/>
      <c r="F35" s="188"/>
      <c r="G35" s="188"/>
      <c r="H35" s="188"/>
      <c r="I35" s="188"/>
      <c r="J35" s="188"/>
      <c r="K35" s="67"/>
      <c r="L35" s="199"/>
      <c r="M35" s="192"/>
      <c r="N35" s="192"/>
      <c r="O35" s="188"/>
      <c r="P35" s="38"/>
      <c r="Q35" s="201"/>
      <c r="R35" s="188"/>
      <c r="S35" s="189"/>
      <c r="T35" s="198"/>
      <c r="U35" s="41"/>
      <c r="V35" s="42"/>
    </row>
    <row r="36" spans="1:22" ht="23" x14ac:dyDescent="0.25">
      <c r="A36" s="68" t="s">
        <v>73</v>
      </c>
      <c r="B36" s="66" t="s">
        <v>800</v>
      </c>
      <c r="C36" s="76" t="s">
        <v>711</v>
      </c>
      <c r="D36" s="188" t="s">
        <v>95</v>
      </c>
      <c r="E36" s="38" t="s">
        <v>248</v>
      </c>
      <c r="F36" s="188" t="s">
        <v>248</v>
      </c>
      <c r="G36" s="188" t="s">
        <v>248</v>
      </c>
      <c r="H36" s="188" t="s">
        <v>248</v>
      </c>
      <c r="I36" s="188" t="s">
        <v>123</v>
      </c>
      <c r="J36" s="188" t="s">
        <v>270</v>
      </c>
      <c r="K36" s="272">
        <f>6250*12/'Average wages'!B28</f>
        <v>0.11954675347880044</v>
      </c>
      <c r="L36" s="268">
        <f>(10450-6250)*12/'Average wages'!B28</f>
        <v>8.03354183377539E-2</v>
      </c>
      <c r="M36" s="268">
        <f>(10450+2450+3150-10450)/2*12/'Average wages'!B28</f>
        <v>5.3556945558502593E-2</v>
      </c>
      <c r="N36" s="282">
        <f>(6250+2450+3150-6250)/2*12/'Average wages'!B28</f>
        <v>5.3556945558502593E-2</v>
      </c>
      <c r="O36" s="188" t="s">
        <v>807</v>
      </c>
      <c r="P36" s="38" t="s">
        <v>123</v>
      </c>
      <c r="Q36" s="201">
        <v>1</v>
      </c>
      <c r="R36" s="188" t="s">
        <v>248</v>
      </c>
      <c r="S36" s="189" t="s">
        <v>251</v>
      </c>
      <c r="T36" s="188" t="s">
        <v>819</v>
      </c>
      <c r="U36" s="41" t="s">
        <v>95</v>
      </c>
      <c r="V36" s="42" t="s">
        <v>95</v>
      </c>
    </row>
    <row r="37" spans="1:22" ht="46" x14ac:dyDescent="0.25">
      <c r="A37" s="65" t="s">
        <v>244</v>
      </c>
      <c r="B37" s="271" t="s">
        <v>249</v>
      </c>
      <c r="C37" s="270" t="s">
        <v>271</v>
      </c>
      <c r="D37" s="41">
        <v>18</v>
      </c>
      <c r="E37" s="228" t="s">
        <v>260</v>
      </c>
      <c r="F37" s="41" t="s">
        <v>260</v>
      </c>
      <c r="G37" s="41" t="s">
        <v>260</v>
      </c>
      <c r="H37" s="41" t="s">
        <v>123</v>
      </c>
      <c r="I37" s="41" t="s">
        <v>123</v>
      </c>
      <c r="J37" s="41" t="s">
        <v>104</v>
      </c>
      <c r="K37" s="272">
        <f>418*12/'Average wages'!B29</f>
        <v>8.2344638683299096E-2</v>
      </c>
      <c r="L37" s="268">
        <f>(528*2-418)*12/'Average wages'!B29</f>
        <v>0.12568392220082494</v>
      </c>
      <c r="M37" s="268">
        <f>528*12/'Average wages'!B29</f>
        <v>0.10401428044206203</v>
      </c>
      <c r="N37" s="268">
        <f>(528*3-418)/2*12/'Average wages'!B29</f>
        <v>0.11484910132144348</v>
      </c>
      <c r="O37" s="41" t="s">
        <v>272</v>
      </c>
      <c r="P37" s="228" t="s">
        <v>810</v>
      </c>
      <c r="Q37" s="227" t="s">
        <v>816</v>
      </c>
      <c r="R37" s="41" t="s">
        <v>248</v>
      </c>
      <c r="S37" s="42" t="s">
        <v>1298</v>
      </c>
      <c r="T37" s="41" t="s">
        <v>95</v>
      </c>
      <c r="U37" s="41" t="s">
        <v>95</v>
      </c>
      <c r="V37" s="42" t="s">
        <v>95</v>
      </c>
    </row>
    <row r="38" spans="1:22" ht="46" x14ac:dyDescent="0.25">
      <c r="A38" s="65" t="s">
        <v>74</v>
      </c>
      <c r="B38" s="66" t="s">
        <v>249</v>
      </c>
      <c r="C38" s="76" t="s">
        <v>273</v>
      </c>
      <c r="D38" s="188" t="s">
        <v>1186</v>
      </c>
      <c r="E38" s="38" t="s">
        <v>248</v>
      </c>
      <c r="F38" s="188" t="s">
        <v>248</v>
      </c>
      <c r="G38" s="188" t="s">
        <v>248</v>
      </c>
      <c r="H38" s="188" t="s">
        <v>123</v>
      </c>
      <c r="I38" s="188" t="s">
        <v>268</v>
      </c>
      <c r="J38" s="188" t="s">
        <v>123</v>
      </c>
      <c r="K38" s="67">
        <f>190.99*12/'Average wages'!B30</f>
        <v>0.11766652500913438</v>
      </c>
      <c r="L38" s="192">
        <f>K38*0.7</f>
        <v>8.2366567506394067E-2</v>
      </c>
      <c r="M38" s="192">
        <f>K38*0.5</f>
        <v>5.8833262504567191E-2</v>
      </c>
      <c r="N38" s="192">
        <f>M38</f>
        <v>5.8833262504567191E-2</v>
      </c>
      <c r="O38" s="188" t="s">
        <v>123</v>
      </c>
      <c r="P38" s="38" t="s">
        <v>123</v>
      </c>
      <c r="Q38" s="201" t="s">
        <v>1187</v>
      </c>
      <c r="R38" s="188" t="s">
        <v>248</v>
      </c>
      <c r="S38" s="189" t="s">
        <v>1188</v>
      </c>
      <c r="T38" s="41" t="s">
        <v>95</v>
      </c>
      <c r="U38" s="41" t="s">
        <v>95</v>
      </c>
      <c r="V38" s="42" t="s">
        <v>95</v>
      </c>
    </row>
    <row r="39" spans="1:22" ht="69" x14ac:dyDescent="0.25">
      <c r="A39" s="68" t="s">
        <v>245</v>
      </c>
      <c r="B39" s="66" t="s">
        <v>249</v>
      </c>
      <c r="C39" s="283" t="s">
        <v>595</v>
      </c>
      <c r="D39" s="188" t="s">
        <v>95</v>
      </c>
      <c r="E39" s="38" t="s">
        <v>1061</v>
      </c>
      <c r="F39" s="188" t="s">
        <v>123</v>
      </c>
      <c r="G39" s="188" t="s">
        <v>123</v>
      </c>
      <c r="H39" s="188" t="s">
        <v>123</v>
      </c>
      <c r="I39" s="188" t="s">
        <v>123</v>
      </c>
      <c r="J39" s="188" t="s">
        <v>123</v>
      </c>
      <c r="K39" s="67">
        <f>66.3*12/'Average wages'!B31</f>
        <v>6.0271326559917508E-2</v>
      </c>
      <c r="L39" s="192">
        <f>(115.3-66.3)*12/'Average wages'!B31</f>
        <v>4.4544419327842505E-2</v>
      </c>
      <c r="M39" s="192">
        <f>((172.6-115.3+18.6)/2)*12/'Average wages'!B31</f>
        <v>3.4499198234522924E-2</v>
      </c>
      <c r="N39" s="192">
        <f>((126.2-66.3+18.6)/2)*12/'Average wages'!B31</f>
        <v>3.5680988951384045E-2</v>
      </c>
      <c r="O39" s="188" t="s">
        <v>596</v>
      </c>
      <c r="P39" s="38" t="s">
        <v>1062</v>
      </c>
      <c r="Q39" s="201" t="s">
        <v>1063</v>
      </c>
      <c r="R39" s="188" t="s">
        <v>248</v>
      </c>
      <c r="S39" s="189" t="s">
        <v>597</v>
      </c>
      <c r="T39" s="41" t="s">
        <v>95</v>
      </c>
      <c r="U39" s="41" t="s">
        <v>95</v>
      </c>
      <c r="V39" s="42" t="s">
        <v>95</v>
      </c>
    </row>
    <row r="40" spans="1:22" ht="126.5" x14ac:dyDescent="0.25">
      <c r="A40" s="68" t="s">
        <v>76</v>
      </c>
      <c r="B40" s="66" t="s">
        <v>249</v>
      </c>
      <c r="C40" s="76" t="s">
        <v>275</v>
      </c>
      <c r="D40" s="188" t="s">
        <v>95</v>
      </c>
      <c r="E40" s="38" t="s">
        <v>248</v>
      </c>
      <c r="F40" s="188" t="s">
        <v>123</v>
      </c>
      <c r="G40" s="188" t="s">
        <v>248</v>
      </c>
      <c r="H40" s="188" t="s">
        <v>123</v>
      </c>
      <c r="I40" s="188" t="s">
        <v>123</v>
      </c>
      <c r="J40" s="188" t="s">
        <v>250</v>
      </c>
      <c r="K40" s="67">
        <v>0.23449999999999999</v>
      </c>
      <c r="L40" s="192">
        <v>0.13370000000000001</v>
      </c>
      <c r="M40" s="192">
        <v>0.13835</v>
      </c>
      <c r="N40" s="192">
        <v>0.18054999999999999</v>
      </c>
      <c r="O40" s="38" t="s">
        <v>811</v>
      </c>
      <c r="P40" s="38" t="s">
        <v>123</v>
      </c>
      <c r="Q40" s="201">
        <v>1</v>
      </c>
      <c r="R40" s="188" t="s">
        <v>248</v>
      </c>
      <c r="S40" s="189" t="s">
        <v>588</v>
      </c>
      <c r="T40" s="188" t="s">
        <v>95</v>
      </c>
      <c r="U40" s="41" t="s">
        <v>95</v>
      </c>
      <c r="V40" s="189" t="s">
        <v>1064</v>
      </c>
    </row>
    <row r="41" spans="1:22" ht="24" x14ac:dyDescent="0.25">
      <c r="A41" s="68" t="s">
        <v>77</v>
      </c>
      <c r="B41" s="66" t="s">
        <v>1402</v>
      </c>
      <c r="C41" s="76" t="s">
        <v>694</v>
      </c>
      <c r="D41" s="188" t="s">
        <v>1208</v>
      </c>
      <c r="E41" s="38" t="s">
        <v>248</v>
      </c>
      <c r="F41" s="188" t="s">
        <v>248</v>
      </c>
      <c r="G41" s="188" t="s">
        <v>248</v>
      </c>
      <c r="H41" s="188" t="s">
        <v>123</v>
      </c>
      <c r="I41" s="188" t="s">
        <v>123</v>
      </c>
      <c r="J41" s="188" t="s">
        <v>123</v>
      </c>
      <c r="K41" s="67">
        <v>0.1749</v>
      </c>
      <c r="L41" s="192">
        <v>4.9299999999999997E-2</v>
      </c>
      <c r="M41" s="192">
        <v>3.2899999999999999E-2</v>
      </c>
      <c r="N41" s="192">
        <v>4.1099999999999998E-2</v>
      </c>
      <c r="O41" s="188" t="s">
        <v>123</v>
      </c>
      <c r="P41" s="38" t="s">
        <v>123</v>
      </c>
      <c r="Q41" s="201">
        <v>1</v>
      </c>
      <c r="R41" s="188" t="s">
        <v>248</v>
      </c>
      <c r="S41" s="189" t="s">
        <v>1209</v>
      </c>
      <c r="T41" s="41" t="s">
        <v>95</v>
      </c>
      <c r="U41" s="41" t="s">
        <v>95</v>
      </c>
      <c r="V41" s="42" t="s">
        <v>95</v>
      </c>
    </row>
    <row r="42" spans="1:22" ht="46" x14ac:dyDescent="0.25">
      <c r="A42" s="65" t="s">
        <v>78</v>
      </c>
      <c r="B42" s="271" t="s">
        <v>249</v>
      </c>
      <c r="C42" s="270" t="s">
        <v>276</v>
      </c>
      <c r="D42" s="41" t="s">
        <v>95</v>
      </c>
      <c r="E42" s="228" t="s">
        <v>248</v>
      </c>
      <c r="F42" s="41" t="s">
        <v>248</v>
      </c>
      <c r="G42" s="41" t="s">
        <v>248</v>
      </c>
      <c r="H42" s="41" t="s">
        <v>123</v>
      </c>
      <c r="I42" s="41" t="s">
        <v>123</v>
      </c>
      <c r="J42" s="41" t="s">
        <v>797</v>
      </c>
      <c r="K42" s="272">
        <f>(3150+1010)*12/'Average wages'!B34</f>
        <v>0.10717810019268427</v>
      </c>
      <c r="L42" s="268">
        <f>(5680-3150+1120-1010)*12/'Average wages'!B34</f>
        <v>6.8016871276126559E-2</v>
      </c>
      <c r="M42" s="268">
        <f>(2430+(1600-1120)/2)*12/'Average wages'!B34</f>
        <v>6.8789790267900719E-2</v>
      </c>
      <c r="N42" s="284">
        <f>(2430+1120-1010)*12/'Average wages'!B34</f>
        <v>6.5440474636879339E-2</v>
      </c>
      <c r="O42" s="41" t="s">
        <v>277</v>
      </c>
      <c r="P42" s="228" t="s">
        <v>123</v>
      </c>
      <c r="Q42" s="227" t="s">
        <v>817</v>
      </c>
      <c r="R42" s="41" t="s">
        <v>248</v>
      </c>
      <c r="S42" s="42" t="s">
        <v>688</v>
      </c>
      <c r="T42" s="41" t="s">
        <v>689</v>
      </c>
      <c r="U42" s="41" t="s">
        <v>690</v>
      </c>
      <c r="V42" s="42" t="s">
        <v>95</v>
      </c>
    </row>
    <row r="43" spans="1:22" ht="69" x14ac:dyDescent="0.25">
      <c r="A43" s="68" t="s">
        <v>79</v>
      </c>
      <c r="B43" s="66" t="s">
        <v>1031</v>
      </c>
      <c r="C43" s="76" t="s">
        <v>744</v>
      </c>
      <c r="D43" s="188" t="s">
        <v>104</v>
      </c>
      <c r="E43" s="38" t="s">
        <v>248</v>
      </c>
      <c r="F43" s="188" t="s">
        <v>248</v>
      </c>
      <c r="G43" s="188" t="s">
        <v>248</v>
      </c>
      <c r="H43" s="188" t="s">
        <v>123</v>
      </c>
      <c r="I43" s="188" t="s">
        <v>743</v>
      </c>
      <c r="J43" s="188" t="s">
        <v>798</v>
      </c>
      <c r="K43" s="67">
        <f>11964/'Average wages'!B35</f>
        <v>0.13694606759781919</v>
      </c>
      <c r="L43" s="192">
        <f>(18300-11964)/'Average wages'!B35</f>
        <v>7.2525098988614367E-2</v>
      </c>
      <c r="M43" s="192">
        <f>(25608-18300)/2/'Average wages'!B35</f>
        <v>4.1825554246274765E-2</v>
      </c>
      <c r="N43" s="192">
        <f>(22248-11964)/2/'Average wages'!B35</f>
        <v>5.8857963857237232E-2</v>
      </c>
      <c r="O43" s="188" t="s">
        <v>278</v>
      </c>
      <c r="P43" s="38" t="str">
        <f>"CHF 400/month ("&amp;TEXT(100*400*12/'Average wages'!B35,0)&amp;"% of AW) (CHF 850/month per household, "&amp;TEXT(100*850*12/'Average wages'!B35,0)&amp;"% of AW)"</f>
        <v>CHF 400/month (5% of AW) (CHF 850/month per household, 12% of AW)</v>
      </c>
      <c r="Q43" s="201">
        <v>1</v>
      </c>
      <c r="R43" s="188" t="s">
        <v>248</v>
      </c>
      <c r="S43" s="189" t="s">
        <v>279</v>
      </c>
      <c r="T43" s="41" t="s">
        <v>824</v>
      </c>
      <c r="U43" s="41" t="s">
        <v>95</v>
      </c>
      <c r="V43" s="42" t="s">
        <v>95</v>
      </c>
    </row>
    <row r="44" spans="1:22" ht="34.5" x14ac:dyDescent="0.25">
      <c r="A44" s="68" t="s">
        <v>80</v>
      </c>
      <c r="B44" s="66" t="s">
        <v>249</v>
      </c>
      <c r="C44" s="66" t="s">
        <v>1150</v>
      </c>
      <c r="D44" s="188"/>
      <c r="E44" s="38"/>
      <c r="F44" s="188"/>
      <c r="G44" s="188"/>
      <c r="H44" s="188"/>
      <c r="I44" s="188"/>
      <c r="J44" s="188"/>
      <c r="K44" s="67"/>
      <c r="L44" s="192"/>
      <c r="M44" s="192"/>
      <c r="N44" s="192"/>
      <c r="O44" s="188"/>
      <c r="P44" s="38"/>
      <c r="Q44" s="201"/>
      <c r="R44" s="188"/>
      <c r="S44" s="189"/>
      <c r="T44" s="41"/>
      <c r="U44" s="41"/>
      <c r="V44" s="42"/>
    </row>
    <row r="45" spans="1:22" ht="46" x14ac:dyDescent="0.25">
      <c r="A45" s="68" t="s">
        <v>1229</v>
      </c>
      <c r="B45" s="271" t="s">
        <v>249</v>
      </c>
      <c r="C45" s="270" t="str">
        <f>'Unemployment Assistance'!B49</f>
        <v xml:space="preserve">Universal Credit </v>
      </c>
      <c r="D45" s="41" t="s">
        <v>1220</v>
      </c>
      <c r="E45" s="228" t="s">
        <v>248</v>
      </c>
      <c r="F45" s="41" t="s">
        <v>248</v>
      </c>
      <c r="G45" s="41" t="s">
        <v>248</v>
      </c>
      <c r="H45" s="41" t="s">
        <v>123</v>
      </c>
      <c r="I45" s="41" t="s">
        <v>123</v>
      </c>
      <c r="J45" s="41" t="s">
        <v>1221</v>
      </c>
      <c r="K45" s="272">
        <f>409.89*12/'Average wages'!B37</f>
        <v>0.11765126669584121</v>
      </c>
      <c r="L45" s="268">
        <f>(594.04-409.89)*12/'Average wages'!B37</f>
        <v>5.2856817102244887E-2</v>
      </c>
      <c r="M45" s="268">
        <f>(281.25+235.83)/2*12/'Average wages'!B37</f>
        <v>7.4209076804856888E-2</v>
      </c>
      <c r="N45" s="268">
        <f>(281.25+235.83)/2*12/'Average wages'!B37</f>
        <v>7.4209076804856888E-2</v>
      </c>
      <c r="O45" s="41" t="s">
        <v>1222</v>
      </c>
      <c r="P45" s="228" t="str">
        <f>"GBP 512 ("&amp;TEXT(512*12*100/'Average wages'!B37,"0.0")&amp;"% of AW) per month for those with children or limited capacity to work"</f>
        <v>GBP 512 (14.7% of AW) per month for those with children or limited capacity to work</v>
      </c>
      <c r="Q45" s="201" t="s">
        <v>1216</v>
      </c>
      <c r="R45" s="41" t="s">
        <v>248</v>
      </c>
      <c r="S45" s="42" t="s">
        <v>1223</v>
      </c>
      <c r="T45" s="41" t="str">
        <f>'Unemployment Assistance'!L49</f>
        <v>G: - lower benefit amounts for under 25 year-olds</v>
      </c>
      <c r="U45" s="41" t="s">
        <v>95</v>
      </c>
      <c r="V45" s="42" t="s">
        <v>1224</v>
      </c>
    </row>
    <row r="46" spans="1:22" ht="92" x14ac:dyDescent="0.25">
      <c r="A46" s="278" t="s">
        <v>1417</v>
      </c>
      <c r="B46" s="69" t="s">
        <v>249</v>
      </c>
      <c r="C46" s="69" t="s">
        <v>280</v>
      </c>
      <c r="D46" s="70" t="s">
        <v>95</v>
      </c>
      <c r="E46" s="71" t="s">
        <v>123</v>
      </c>
      <c r="F46" s="70" t="s">
        <v>123</v>
      </c>
      <c r="G46" s="70" t="s">
        <v>123</v>
      </c>
      <c r="H46" s="70" t="s">
        <v>123</v>
      </c>
      <c r="I46" s="70" t="s">
        <v>698</v>
      </c>
      <c r="J46" s="70" t="s">
        <v>123</v>
      </c>
      <c r="K46" s="67">
        <f>194*12/'Average wages'!B38</f>
        <v>3.8658004435053205E-2</v>
      </c>
      <c r="L46" s="268">
        <f>(355-194)*12/'Average wages'!B38</f>
        <v>3.2082158319812197E-2</v>
      </c>
      <c r="M46" s="268">
        <f>(646-355)/2*12/'Average wages'!B38</f>
        <v>2.8993503326289905E-2</v>
      </c>
      <c r="N46" s="268">
        <f>(509-194)/2*12/'Average wages'!B38</f>
        <v>3.138472009546845E-2</v>
      </c>
      <c r="O46" s="70" t="s">
        <v>123</v>
      </c>
      <c r="P46" s="71" t="str">
        <f>"USD 167/month ("&amp;TEXT(100*167*12/'Average wages'!B38,0)&amp;"% of AW) for households with 3 people or fewer
USD 178/month ("&amp;TEXT(100*178*12/'Average wages'!B38,0)&amp;"% of AW) for 4-person households
USD 209/month ("&amp;TEXT(100*209*12/'Average wages'!B38,0)&amp;"% of AW) for 5-person households
USD 240/month ("&amp;TEXT(100*240*12/'Average wages'!B38,0)&amp;"% of AW) for households of 6 people or more"</f>
        <v>USD 167/month (3% of AW) for households with 3 people or fewer
USD 178/month (4% of AW) for 4-person households
USD 209/month (4% of AW) for 5-person households
USD 240/month (5% of AW) for households of 6 people or more</v>
      </c>
      <c r="Q46" s="72" t="s">
        <v>1033</v>
      </c>
      <c r="R46" s="70" t="s">
        <v>248</v>
      </c>
      <c r="S46" s="73" t="s">
        <v>699</v>
      </c>
      <c r="T46" s="285" t="s">
        <v>95</v>
      </c>
      <c r="U46" s="41" t="s">
        <v>95</v>
      </c>
      <c r="V46" s="42" t="s">
        <v>95</v>
      </c>
    </row>
    <row r="47" spans="1:22" x14ac:dyDescent="0.25">
      <c r="A47" s="21" t="s">
        <v>1149</v>
      </c>
      <c r="B47" s="69"/>
      <c r="C47" s="69"/>
      <c r="D47" s="70"/>
      <c r="E47" s="71"/>
      <c r="F47" s="70"/>
      <c r="G47" s="70"/>
      <c r="H47" s="70"/>
      <c r="I47" s="70"/>
      <c r="J47" s="70"/>
      <c r="K47" s="74"/>
      <c r="L47" s="75"/>
      <c r="M47" s="75"/>
      <c r="N47" s="75"/>
      <c r="O47" s="70"/>
      <c r="P47" s="70"/>
      <c r="Q47" s="72"/>
      <c r="R47" s="70"/>
      <c r="S47" s="70"/>
      <c r="T47" s="70"/>
      <c r="U47" s="70"/>
      <c r="V47" s="73"/>
    </row>
    <row r="48" spans="1:22" ht="161" x14ac:dyDescent="0.25">
      <c r="A48" s="256" t="s">
        <v>83</v>
      </c>
      <c r="B48" s="271" t="s">
        <v>249</v>
      </c>
      <c r="C48" s="270" t="s">
        <v>281</v>
      </c>
      <c r="D48" s="41">
        <v>17</v>
      </c>
      <c r="E48" s="287" t="s">
        <v>248</v>
      </c>
      <c r="F48" s="41" t="s">
        <v>248</v>
      </c>
      <c r="G48" s="41" t="s">
        <v>248</v>
      </c>
      <c r="H48" s="41" t="s">
        <v>104</v>
      </c>
      <c r="I48" s="41" t="s">
        <v>1065</v>
      </c>
      <c r="J48" s="41" t="s">
        <v>799</v>
      </c>
      <c r="K48" s="272">
        <v>4.1399999999999999E-2</v>
      </c>
      <c r="L48" s="268">
        <v>3.3399999999999999E-2</v>
      </c>
      <c r="M48" s="268">
        <v>5.16E-2</v>
      </c>
      <c r="N48" s="284">
        <v>5.9249999999999997E-2</v>
      </c>
      <c r="O48" s="41" t="s">
        <v>1066</v>
      </c>
      <c r="P48" s="228" t="s">
        <v>123</v>
      </c>
      <c r="Q48" s="227">
        <v>1</v>
      </c>
      <c r="R48" s="41" t="s">
        <v>248</v>
      </c>
      <c r="S48" s="42" t="s">
        <v>123</v>
      </c>
      <c r="T48" s="41" t="s">
        <v>95</v>
      </c>
      <c r="U48" s="41" t="s">
        <v>283</v>
      </c>
      <c r="V48" s="42" t="s">
        <v>95</v>
      </c>
    </row>
    <row r="49" spans="1:22" ht="46" x14ac:dyDescent="0.25">
      <c r="A49" s="256" t="s">
        <v>84</v>
      </c>
      <c r="B49" s="66" t="s">
        <v>249</v>
      </c>
      <c r="C49" s="280" t="s">
        <v>1299</v>
      </c>
      <c r="D49" s="188" t="s">
        <v>123</v>
      </c>
      <c r="E49" s="38" t="s">
        <v>248</v>
      </c>
      <c r="F49" s="188" t="s">
        <v>123</v>
      </c>
      <c r="G49" s="188" t="s">
        <v>123</v>
      </c>
      <c r="H49" s="188" t="s">
        <v>123</v>
      </c>
      <c r="I49" s="188" t="s">
        <v>123</v>
      </c>
      <c r="J49" s="188" t="s">
        <v>123</v>
      </c>
      <c r="K49" s="67">
        <f>800*12/'Average wages'!B41</f>
        <v>9.2740795578245022E-2</v>
      </c>
      <c r="L49" s="192">
        <f>800*(0.6*2-1)*12/'Average wages'!B41</f>
        <v>1.8548159115648999E-2</v>
      </c>
      <c r="M49" s="192">
        <f>800*0.4*12/'Average wages'!B41</f>
        <v>3.7096318231298005E-2</v>
      </c>
      <c r="N49" s="192">
        <f>800*0.55*12/'Average wages'!B41</f>
        <v>5.1007437568034768E-2</v>
      </c>
      <c r="O49" s="188" t="s">
        <v>808</v>
      </c>
      <c r="P49" s="38" t="s">
        <v>123</v>
      </c>
      <c r="Q49" s="201">
        <v>1</v>
      </c>
      <c r="R49" s="188" t="s">
        <v>248</v>
      </c>
      <c r="S49" s="189" t="s">
        <v>1300</v>
      </c>
      <c r="T49" s="188" t="s">
        <v>95</v>
      </c>
      <c r="U49" s="41" t="s">
        <v>95</v>
      </c>
      <c r="V49" s="42" t="s">
        <v>95</v>
      </c>
    </row>
    <row r="50" spans="1:22" ht="57.5" x14ac:dyDescent="0.25">
      <c r="A50" s="256" t="s">
        <v>585</v>
      </c>
      <c r="B50" s="66" t="s">
        <v>249</v>
      </c>
      <c r="C50" s="280" t="s">
        <v>639</v>
      </c>
      <c r="D50" s="188" t="s">
        <v>789</v>
      </c>
      <c r="E50" s="38" t="s">
        <v>248</v>
      </c>
      <c r="F50" s="188" t="s">
        <v>248</v>
      </c>
      <c r="G50" s="188" t="s">
        <v>248</v>
      </c>
      <c r="H50" s="188" t="s">
        <v>123</v>
      </c>
      <c r="I50" s="188" t="s">
        <v>123</v>
      </c>
      <c r="J50" s="188" t="s">
        <v>123</v>
      </c>
      <c r="K50" s="67">
        <f>480*12/'Average wages'!B42</f>
        <v>0.24867424194868534</v>
      </c>
      <c r="L50" s="192">
        <f>480*0.5*12/'Average wages'!B42</f>
        <v>0.12433712097434267</v>
      </c>
      <c r="M50" s="192">
        <f>480*0.3*12/'Average wages'!B42</f>
        <v>7.4602272584605597E-2</v>
      </c>
      <c r="N50" s="192">
        <f>480*0.3*12/'Average wages'!B42</f>
        <v>7.4602272584605597E-2</v>
      </c>
      <c r="O50" s="188" t="s">
        <v>809</v>
      </c>
      <c r="P50" s="38" t="str">
        <f>"100% up to EUR 50 per month; 40% up to EUR 200; 20% up to EUR 500 (total "&amp;TEXT(170*12/'Average wages'!B42,"0%")&amp;" of AW)"</f>
        <v>100% up to EUR 50 per month; 40% up to EUR 200; 20% up to EUR 500 (total 9% of AW)</v>
      </c>
      <c r="Q50" s="201" t="s">
        <v>1301</v>
      </c>
      <c r="R50" s="188" t="s">
        <v>248</v>
      </c>
      <c r="S50" s="189" t="s">
        <v>1302</v>
      </c>
      <c r="T50" s="188" t="s">
        <v>825</v>
      </c>
      <c r="U50" s="41" t="s">
        <v>95</v>
      </c>
      <c r="V50" s="42" t="s">
        <v>1303</v>
      </c>
    </row>
    <row r="51" spans="1:22" ht="149.5" x14ac:dyDescent="0.25">
      <c r="A51" s="281" t="s">
        <v>192</v>
      </c>
      <c r="B51" s="271" t="s">
        <v>249</v>
      </c>
      <c r="C51" s="270" t="s">
        <v>1069</v>
      </c>
      <c r="D51" s="41">
        <v>18</v>
      </c>
      <c r="E51" s="228" t="s">
        <v>248</v>
      </c>
      <c r="F51" s="41" t="s">
        <v>123</v>
      </c>
      <c r="G51" s="41" t="s">
        <v>248</v>
      </c>
      <c r="H51" s="41" t="s">
        <v>123</v>
      </c>
      <c r="I51" s="41" t="s">
        <v>123</v>
      </c>
      <c r="J51" s="41" t="s">
        <v>123</v>
      </c>
      <c r="K51" s="272">
        <v>0.21740000000000001</v>
      </c>
      <c r="L51" s="268">
        <v>1.6299999999999999E-2</v>
      </c>
      <c r="M51" s="268">
        <v>1.6400000000000001E-2</v>
      </c>
      <c r="N51" s="288">
        <v>1.635E-2</v>
      </c>
      <c r="O51" s="41" t="str">
        <f>"Yes. 
- Two bonuses: the Additional Bonus and the Half yearly bonus. The total amount per year is equal to "&amp;TEXT((13.42+22.52)*12*100/'Average wages'!B43,0)&amp;"% of AW.
- The 'Supplementary Allowance' may be also available for SA recipients. Maximum amounts depend on the family composition and economic activity status. For a single person without work the maximum benefit is "&amp;TEXT(237.61*100/'Average wages'!B43,0)&amp;"% of AW"</f>
        <v>Yes. 
- Two bonuses: the Additional Bonus and the Half yearly bonus. The total amount per year is equal to 2% of AW.
- The 'Supplementary Allowance' may be also available for SA recipients. Maximum amounts depend on the family composition and economic activity status. For a single person without work the maximum benefit is 1% of AW</v>
      </c>
      <c r="P51" s="228" t="s">
        <v>1070</v>
      </c>
      <c r="Q51" s="227">
        <v>1</v>
      </c>
      <c r="R51" s="41" t="s">
        <v>248</v>
      </c>
      <c r="S51" s="42" t="s">
        <v>123</v>
      </c>
      <c r="T51" s="41" t="s">
        <v>95</v>
      </c>
      <c r="U51" s="41" t="s">
        <v>95</v>
      </c>
      <c r="V51" s="42" t="s">
        <v>653</v>
      </c>
    </row>
    <row r="52" spans="1:22" ht="72" x14ac:dyDescent="0.25">
      <c r="A52" s="65" t="s">
        <v>87</v>
      </c>
      <c r="B52" s="289" t="s">
        <v>249</v>
      </c>
      <c r="C52" s="290" t="s">
        <v>284</v>
      </c>
      <c r="D52" s="291" t="s">
        <v>1067</v>
      </c>
      <c r="E52" s="292" t="s">
        <v>104</v>
      </c>
      <c r="F52" s="293" t="s">
        <v>123</v>
      </c>
      <c r="G52" s="293" t="s">
        <v>123</v>
      </c>
      <c r="H52" s="293" t="s">
        <v>248</v>
      </c>
      <c r="I52" s="293" t="s">
        <v>123</v>
      </c>
      <c r="J52" s="293" t="s">
        <v>123</v>
      </c>
      <c r="K52" s="67">
        <v>2.6200000000000001E-2</v>
      </c>
      <c r="L52" s="192">
        <v>2.0799999999999999E-2</v>
      </c>
      <c r="M52" s="192">
        <v>1.72E-2</v>
      </c>
      <c r="N52" s="267">
        <v>1.9800000000000002E-2</v>
      </c>
      <c r="O52" s="293" t="s">
        <v>123</v>
      </c>
      <c r="P52" s="292" t="s">
        <v>1068</v>
      </c>
      <c r="Q52" s="227">
        <v>1</v>
      </c>
      <c r="R52" s="293" t="s">
        <v>248</v>
      </c>
      <c r="S52" s="294" t="s">
        <v>285</v>
      </c>
      <c r="T52" s="293" t="s">
        <v>95</v>
      </c>
      <c r="U52" s="293" t="s">
        <v>95</v>
      </c>
      <c r="V52" s="294" t="s">
        <v>286</v>
      </c>
    </row>
    <row r="53" spans="1:22" x14ac:dyDescent="0.25">
      <c r="A53" s="130"/>
      <c r="B53" s="130"/>
      <c r="C53" s="202"/>
      <c r="D53" s="203"/>
      <c r="E53" s="204"/>
      <c r="F53" s="204"/>
      <c r="G53" s="204"/>
      <c r="H53" s="204"/>
      <c r="I53" s="204"/>
      <c r="J53" s="204"/>
      <c r="K53" s="204"/>
      <c r="L53" s="205"/>
      <c r="M53" s="205"/>
      <c r="N53" s="205"/>
      <c r="O53" s="206"/>
      <c r="P53" s="204"/>
      <c r="Q53" s="204"/>
      <c r="R53" s="204"/>
      <c r="S53" s="204"/>
      <c r="T53" s="204"/>
      <c r="U53" s="204"/>
      <c r="V53" s="204"/>
    </row>
    <row r="54" spans="1:22" x14ac:dyDescent="0.25">
      <c r="A54" s="78" t="s">
        <v>88</v>
      </c>
      <c r="B54" s="78"/>
      <c r="C54" s="79"/>
      <c r="D54" s="82"/>
      <c r="E54" s="29"/>
      <c r="F54" s="80"/>
      <c r="G54" s="81"/>
      <c r="H54" s="81"/>
      <c r="I54" s="81"/>
      <c r="J54" s="81"/>
      <c r="K54" s="29"/>
      <c r="L54" s="29"/>
      <c r="M54" s="29"/>
      <c r="N54" s="29"/>
      <c r="O54" s="29"/>
      <c r="P54" s="82"/>
      <c r="Q54" s="83"/>
      <c r="R54" s="83"/>
      <c r="S54" s="83"/>
      <c r="T54" s="83"/>
    </row>
    <row r="55" spans="1:22" x14ac:dyDescent="0.25">
      <c r="A55" s="555" t="s">
        <v>89</v>
      </c>
      <c r="B55" s="555"/>
      <c r="C55" s="555"/>
      <c r="D55" s="555"/>
      <c r="E55" s="555"/>
      <c r="F55" s="555"/>
      <c r="G55" s="555"/>
      <c r="H55" s="555"/>
      <c r="I55" s="555"/>
      <c r="J55" s="555"/>
      <c r="K55" s="555"/>
      <c r="L55" s="555"/>
      <c r="M55" s="555"/>
      <c r="N55" s="555"/>
      <c r="O55" s="555"/>
      <c r="P55" s="84"/>
      <c r="Q55" s="555"/>
      <c r="R55" s="555"/>
      <c r="S55" s="555"/>
      <c r="T55" s="555"/>
      <c r="U55" s="555"/>
      <c r="V55" s="555"/>
    </row>
    <row r="56" spans="1:22" x14ac:dyDescent="0.25">
      <c r="A56" s="31" t="s">
        <v>288</v>
      </c>
      <c r="B56" s="31"/>
      <c r="C56" s="79"/>
      <c r="D56" s="29"/>
      <c r="E56" s="29"/>
      <c r="F56" s="80"/>
      <c r="G56" s="81"/>
      <c r="H56" s="81"/>
      <c r="I56" s="81"/>
      <c r="J56" s="81"/>
      <c r="K56" s="29"/>
      <c r="L56" s="29"/>
      <c r="M56" s="29"/>
      <c r="N56" s="29"/>
      <c r="O56" s="29"/>
      <c r="P56" s="82"/>
      <c r="Q56" s="83"/>
      <c r="R56" s="83"/>
      <c r="S56" s="83"/>
      <c r="T56" s="83"/>
    </row>
    <row r="57" spans="1:22" ht="12.75" customHeight="1" x14ac:dyDescent="0.25">
      <c r="A57" s="605" t="s">
        <v>1399</v>
      </c>
      <c r="B57" s="605"/>
      <c r="C57" s="605"/>
      <c r="D57" s="605"/>
      <c r="E57" s="605"/>
      <c r="F57" s="605"/>
      <c r="G57" s="605"/>
      <c r="H57" s="605"/>
      <c r="I57" s="605"/>
      <c r="J57" s="605"/>
      <c r="K57" s="605"/>
      <c r="L57" s="605"/>
      <c r="M57" s="605"/>
      <c r="N57" s="605"/>
      <c r="O57" s="605"/>
      <c r="P57" s="605"/>
      <c r="Q57" s="605"/>
      <c r="R57" s="605"/>
      <c r="S57" s="605"/>
      <c r="T57" s="605"/>
      <c r="U57" s="605"/>
      <c r="V57" s="605"/>
    </row>
    <row r="58" spans="1:22" x14ac:dyDescent="0.25">
      <c r="A58" s="25" t="s">
        <v>289</v>
      </c>
      <c r="B58" s="25"/>
      <c r="P58" s="85"/>
    </row>
    <row r="59" spans="1:22" x14ac:dyDescent="0.25">
      <c r="A59" s="25" t="s">
        <v>1230</v>
      </c>
      <c r="B59" s="25"/>
      <c r="P59" s="85"/>
    </row>
    <row r="60" spans="1:22" x14ac:dyDescent="0.25">
      <c r="A60" s="555" t="s">
        <v>614</v>
      </c>
      <c r="B60" s="555"/>
      <c r="P60" s="85"/>
    </row>
    <row r="61" spans="1:22" ht="13" x14ac:dyDescent="0.3">
      <c r="A61" s="555" t="s">
        <v>635</v>
      </c>
      <c r="B61" s="555"/>
      <c r="P61" s="85"/>
    </row>
    <row r="62" spans="1:22" x14ac:dyDescent="0.25">
      <c r="A62" s="25" t="s">
        <v>615</v>
      </c>
      <c r="B62" s="25"/>
      <c r="P62" s="85"/>
    </row>
    <row r="63" spans="1:22" x14ac:dyDescent="0.25">
      <c r="A63" s="25" t="s">
        <v>663</v>
      </c>
      <c r="B63" s="25"/>
      <c r="P63" s="85"/>
    </row>
    <row r="64" spans="1:22" x14ac:dyDescent="0.25">
      <c r="A64" s="25" t="s">
        <v>678</v>
      </c>
      <c r="B64" s="25"/>
      <c r="P64" s="85"/>
    </row>
    <row r="65" spans="1:16" x14ac:dyDescent="0.25">
      <c r="A65" s="25" t="s">
        <v>1431</v>
      </c>
      <c r="B65" s="25"/>
      <c r="P65" s="85"/>
    </row>
    <row r="66" spans="1:16" x14ac:dyDescent="0.25">
      <c r="A66" s="25"/>
      <c r="B66" s="25"/>
      <c r="P66" s="85"/>
    </row>
    <row r="67" spans="1:16" ht="13" x14ac:dyDescent="0.3">
      <c r="A67" s="1" t="s">
        <v>91</v>
      </c>
      <c r="B67" s="295" t="s">
        <v>6</v>
      </c>
      <c r="P67" s="85"/>
    </row>
  </sheetData>
  <autoFilter ref="A11:A52"/>
  <mergeCells count="12">
    <mergeCell ref="A57:V57"/>
    <mergeCell ref="A1:V1"/>
    <mergeCell ref="A2:V2"/>
    <mergeCell ref="C7:C9"/>
    <mergeCell ref="D7:D9"/>
    <mergeCell ref="E7:J8"/>
    <mergeCell ref="K7:S7"/>
    <mergeCell ref="T7:V8"/>
    <mergeCell ref="K8:O8"/>
    <mergeCell ref="P8:S8"/>
    <mergeCell ref="A3:V3"/>
    <mergeCell ref="B7:B9"/>
  </mergeCells>
  <hyperlinks>
    <hyperlink ref="B67" r:id="rId1"/>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J63"/>
  <sheetViews>
    <sheetView zoomScale="80" zoomScaleNormal="80" workbookViewId="0">
      <pane xSplit="1" ySplit="11" topLeftCell="B12" activePane="bottomRight" state="frozen"/>
      <selection pane="topRight" activeCell="B1" sqref="B1"/>
      <selection pane="bottomLeft" activeCell="A12" sqref="A12"/>
      <selection pane="bottomRight" activeCell="B30" sqref="B30"/>
    </sheetView>
  </sheetViews>
  <sheetFormatPr defaultColWidth="8.6328125" defaultRowHeight="12.5" x14ac:dyDescent="0.25"/>
  <cols>
    <col min="1" max="1" width="20" style="23" bestFit="1" customWidth="1"/>
    <col min="2" max="2" width="24.90625" style="23" customWidth="1"/>
    <col min="3" max="7" width="8.6328125" style="23"/>
    <col min="8" max="8" width="86.08984375" style="23" customWidth="1"/>
    <col min="9" max="9" width="35.90625" style="23" customWidth="1"/>
    <col min="10" max="10" width="38.54296875" style="23" bestFit="1" customWidth="1"/>
    <col min="11" max="16384" width="8.6328125" style="23"/>
  </cols>
  <sheetData>
    <row r="1" spans="1:10" ht="19.25" x14ac:dyDescent="0.3">
      <c r="A1" s="628" t="s">
        <v>290</v>
      </c>
      <c r="B1" s="628"/>
      <c r="C1" s="628"/>
      <c r="D1" s="628"/>
      <c r="E1" s="628"/>
      <c r="F1" s="628"/>
      <c r="G1" s="628"/>
      <c r="H1" s="628"/>
      <c r="I1" s="628"/>
      <c r="J1" s="628"/>
    </row>
    <row r="2" spans="1:10" ht="17.399999999999999" x14ac:dyDescent="0.25">
      <c r="A2" s="629">
        <v>2020</v>
      </c>
      <c r="B2" s="629"/>
      <c r="C2" s="629"/>
      <c r="D2" s="629"/>
      <c r="E2" s="629"/>
      <c r="F2" s="629"/>
      <c r="G2" s="629"/>
      <c r="H2" s="629"/>
      <c r="I2" s="629"/>
      <c r="J2" s="629"/>
    </row>
    <row r="3" spans="1:10" ht="17.399999999999999" x14ac:dyDescent="0.25">
      <c r="A3" s="548"/>
      <c r="B3" s="548"/>
      <c r="C3" s="548"/>
      <c r="D3" s="548"/>
      <c r="E3" s="548"/>
      <c r="F3" s="548"/>
      <c r="G3" s="548"/>
      <c r="H3" s="548"/>
      <c r="I3" s="548"/>
      <c r="J3" s="548"/>
    </row>
    <row r="4" spans="1:10" ht="12" hidden="1" customHeight="1" x14ac:dyDescent="0.25">
      <c r="A4" s="6" t="s">
        <v>5</v>
      </c>
      <c r="B4" s="6" t="s">
        <v>8</v>
      </c>
      <c r="C4" s="6" t="s">
        <v>8</v>
      </c>
      <c r="D4" s="6" t="s">
        <v>8</v>
      </c>
      <c r="E4" s="6" t="s">
        <v>8</v>
      </c>
      <c r="F4" s="6" t="s">
        <v>8</v>
      </c>
      <c r="G4" s="6" t="s">
        <v>8</v>
      </c>
      <c r="H4" s="6" t="s">
        <v>8</v>
      </c>
      <c r="I4" s="6" t="s">
        <v>9</v>
      </c>
      <c r="J4" s="6" t="s">
        <v>8</v>
      </c>
    </row>
    <row r="5" spans="1:10" ht="13.25" hidden="1" x14ac:dyDescent="0.25">
      <c r="A5" s="54" t="s">
        <v>10</v>
      </c>
      <c r="B5" s="114" t="s">
        <v>291</v>
      </c>
      <c r="C5" s="114" t="s">
        <v>292</v>
      </c>
      <c r="D5" s="114" t="s">
        <v>293</v>
      </c>
      <c r="E5" s="114" t="s">
        <v>294</v>
      </c>
      <c r="F5" s="114" t="s">
        <v>295</v>
      </c>
      <c r="G5" s="114" t="s">
        <v>296</v>
      </c>
      <c r="H5" s="114" t="s">
        <v>297</v>
      </c>
      <c r="I5" s="86" t="s">
        <v>298</v>
      </c>
      <c r="J5" s="555" t="s">
        <v>299</v>
      </c>
    </row>
    <row r="6" spans="1:10" x14ac:dyDescent="0.25">
      <c r="A6" s="549"/>
      <c r="B6" s="630" t="s">
        <v>300</v>
      </c>
      <c r="C6" s="631"/>
      <c r="D6" s="631"/>
      <c r="E6" s="631"/>
      <c r="F6" s="631"/>
      <c r="G6" s="631"/>
      <c r="H6" s="631"/>
      <c r="I6" s="632"/>
      <c r="J6" s="633" t="s">
        <v>301</v>
      </c>
    </row>
    <row r="7" spans="1:10" x14ac:dyDescent="0.25">
      <c r="A7" s="94"/>
      <c r="B7" s="625"/>
      <c r="C7" s="626"/>
      <c r="D7" s="626"/>
      <c r="E7" s="626"/>
      <c r="F7" s="626"/>
      <c r="G7" s="626"/>
      <c r="H7" s="626"/>
      <c r="I7" s="627"/>
      <c r="J7" s="634"/>
    </row>
    <row r="8" spans="1:10" x14ac:dyDescent="0.25">
      <c r="A8" s="94"/>
      <c r="B8" s="633" t="s">
        <v>173</v>
      </c>
      <c r="C8" s="635" t="s">
        <v>302</v>
      </c>
      <c r="D8" s="635"/>
      <c r="E8" s="635"/>
      <c r="F8" s="635"/>
      <c r="G8" s="636"/>
      <c r="H8" s="637" t="s">
        <v>1403</v>
      </c>
      <c r="I8" s="633" t="s">
        <v>308</v>
      </c>
      <c r="J8" s="634"/>
    </row>
    <row r="9" spans="1:10" ht="40.5" x14ac:dyDescent="0.25">
      <c r="A9" s="94"/>
      <c r="B9" s="634"/>
      <c r="C9" s="89" t="s">
        <v>303</v>
      </c>
      <c r="D9" s="89" t="s">
        <v>304</v>
      </c>
      <c r="E9" s="89" t="s">
        <v>305</v>
      </c>
      <c r="F9" s="89" t="s">
        <v>306</v>
      </c>
      <c r="G9" s="90" t="s">
        <v>307</v>
      </c>
      <c r="H9" s="638"/>
      <c r="I9" s="634"/>
      <c r="J9" s="634"/>
    </row>
    <row r="10" spans="1:10" ht="13.25" x14ac:dyDescent="0.25">
      <c r="A10" s="547"/>
      <c r="B10" s="88" t="s">
        <v>39</v>
      </c>
      <c r="C10" s="625" t="s">
        <v>40</v>
      </c>
      <c r="D10" s="626"/>
      <c r="E10" s="626"/>
      <c r="F10" s="626"/>
      <c r="G10" s="627"/>
      <c r="H10" s="546" t="s">
        <v>41</v>
      </c>
      <c r="I10" s="88" t="s">
        <v>42</v>
      </c>
      <c r="J10" s="88" t="s">
        <v>43</v>
      </c>
    </row>
    <row r="11" spans="1:10" ht="13.25" x14ac:dyDescent="0.25">
      <c r="A11" s="557" t="s">
        <v>53</v>
      </c>
      <c r="B11" s="91"/>
      <c r="C11" s="92"/>
      <c r="D11" s="93"/>
      <c r="E11" s="93"/>
      <c r="F11" s="93"/>
      <c r="G11" s="94"/>
      <c r="H11" s="92"/>
      <c r="I11" s="95"/>
      <c r="J11" s="96"/>
    </row>
    <row r="12" spans="1:10" ht="46" x14ac:dyDescent="0.25">
      <c r="A12" s="97" t="s">
        <v>309</v>
      </c>
      <c r="B12" s="106" t="s">
        <v>1073</v>
      </c>
      <c r="C12" s="99" t="s">
        <v>248</v>
      </c>
      <c r="D12" s="100" t="s">
        <v>248</v>
      </c>
      <c r="E12" s="100" t="s">
        <v>123</v>
      </c>
      <c r="F12" s="100" t="s">
        <v>123</v>
      </c>
      <c r="G12" s="101" t="s">
        <v>248</v>
      </c>
      <c r="H12" s="102" t="s">
        <v>1074</v>
      </c>
      <c r="I12" s="103">
        <f>162.12*26/'Average wages'!B4</f>
        <v>4.6390860765344863E-2</v>
      </c>
      <c r="J12" s="104" t="s">
        <v>104</v>
      </c>
    </row>
    <row r="13" spans="1:10" ht="22.75" x14ac:dyDescent="0.25">
      <c r="A13" s="105" t="s">
        <v>1405</v>
      </c>
      <c r="B13" s="106" t="s">
        <v>625</v>
      </c>
      <c r="C13" s="99" t="s">
        <v>248</v>
      </c>
      <c r="D13" s="100" t="s">
        <v>248</v>
      </c>
      <c r="E13" s="100" t="s">
        <v>248</v>
      </c>
      <c r="F13" s="100" t="s">
        <v>248</v>
      </c>
      <c r="G13" s="101" t="s">
        <v>248</v>
      </c>
      <c r="H13" s="102" t="s">
        <v>626</v>
      </c>
      <c r="I13" s="103">
        <v>8.8599999999999998E-2</v>
      </c>
      <c r="J13" s="104" t="s">
        <v>627</v>
      </c>
    </row>
    <row r="14" spans="1:10" ht="34.25" x14ac:dyDescent="0.25">
      <c r="A14" s="105" t="s">
        <v>240</v>
      </c>
      <c r="B14" s="98" t="s">
        <v>317</v>
      </c>
      <c r="C14" s="99" t="s">
        <v>95</v>
      </c>
      <c r="D14" s="100" t="s">
        <v>95</v>
      </c>
      <c r="E14" s="100" t="s">
        <v>95</v>
      </c>
      <c r="F14" s="100" t="s">
        <v>95</v>
      </c>
      <c r="G14" s="101" t="s">
        <v>95</v>
      </c>
      <c r="H14" s="296" t="s">
        <v>311</v>
      </c>
      <c r="I14" s="297" t="s">
        <v>95</v>
      </c>
      <c r="J14" s="98" t="s">
        <v>964</v>
      </c>
    </row>
    <row r="15" spans="1:10" ht="57" x14ac:dyDescent="0.25">
      <c r="A15" s="105" t="s">
        <v>310</v>
      </c>
      <c r="B15" s="98" t="s">
        <v>317</v>
      </c>
      <c r="C15" s="99" t="s">
        <v>95</v>
      </c>
      <c r="D15" s="100" t="s">
        <v>95</v>
      </c>
      <c r="E15" s="100" t="s">
        <v>95</v>
      </c>
      <c r="F15" s="100" t="s">
        <v>95</v>
      </c>
      <c r="G15" s="101" t="s">
        <v>95</v>
      </c>
      <c r="H15" s="296" t="s">
        <v>311</v>
      </c>
      <c r="I15" s="297" t="s">
        <v>95</v>
      </c>
      <c r="J15" s="98" t="s">
        <v>312</v>
      </c>
    </row>
    <row r="16" spans="1:10" ht="13.25" x14ac:dyDescent="0.25">
      <c r="A16" s="105" t="s">
        <v>56</v>
      </c>
      <c r="B16" s="98" t="s">
        <v>317</v>
      </c>
      <c r="C16" s="99" t="s">
        <v>95</v>
      </c>
      <c r="D16" s="100" t="s">
        <v>95</v>
      </c>
      <c r="E16" s="100" t="s">
        <v>95</v>
      </c>
      <c r="F16" s="100" t="s">
        <v>95</v>
      </c>
      <c r="G16" s="101" t="s">
        <v>95</v>
      </c>
      <c r="H16" s="102" t="s">
        <v>318</v>
      </c>
      <c r="I16" s="103" t="s">
        <v>95</v>
      </c>
      <c r="J16" s="104" t="s">
        <v>123</v>
      </c>
    </row>
    <row r="17" spans="1:10" ht="76.650000000000006" customHeight="1" x14ac:dyDescent="0.25">
      <c r="A17" s="97" t="s">
        <v>1407</v>
      </c>
      <c r="B17" s="98" t="s">
        <v>1075</v>
      </c>
      <c r="C17" s="99" t="s">
        <v>248</v>
      </c>
      <c r="D17" s="100" t="s">
        <v>248</v>
      </c>
      <c r="E17" s="100" t="s">
        <v>123</v>
      </c>
      <c r="F17" s="100" t="s">
        <v>248</v>
      </c>
      <c r="G17" s="101" t="s">
        <v>248</v>
      </c>
      <c r="H17" s="116" t="s">
        <v>1234</v>
      </c>
      <c r="I17" s="103" t="s">
        <v>1235</v>
      </c>
      <c r="J17" s="104" t="s">
        <v>1080</v>
      </c>
    </row>
    <row r="18" spans="1:10" ht="62.5" x14ac:dyDescent="0.25">
      <c r="A18" s="97" t="s">
        <v>1407</v>
      </c>
      <c r="B18" s="98" t="s">
        <v>1076</v>
      </c>
      <c r="C18" s="99" t="s">
        <v>248</v>
      </c>
      <c r="D18" s="100" t="s">
        <v>248</v>
      </c>
      <c r="E18" s="100" t="s">
        <v>123</v>
      </c>
      <c r="F18" s="100" t="s">
        <v>248</v>
      </c>
      <c r="G18" s="101" t="s">
        <v>248</v>
      </c>
      <c r="H18" s="116" t="s">
        <v>1077</v>
      </c>
      <c r="I18" s="103" t="s">
        <v>1236</v>
      </c>
      <c r="J18" s="104" t="s">
        <v>123</v>
      </c>
    </row>
    <row r="19" spans="1:10" ht="90" customHeight="1" x14ac:dyDescent="0.25">
      <c r="A19" s="97" t="s">
        <v>58</v>
      </c>
      <c r="B19" s="106" t="s">
        <v>319</v>
      </c>
      <c r="C19" s="99" t="s">
        <v>248</v>
      </c>
      <c r="D19" s="100" t="s">
        <v>248</v>
      </c>
      <c r="E19" s="100" t="s">
        <v>248</v>
      </c>
      <c r="F19" s="100" t="s">
        <v>123</v>
      </c>
      <c r="G19" s="101" t="s">
        <v>248</v>
      </c>
      <c r="H19" s="102" t="s">
        <v>968</v>
      </c>
      <c r="I19" s="103">
        <f>43332/'Average wages'!B10</f>
        <v>9.9136597662530759E-2</v>
      </c>
      <c r="J19" s="104" t="s">
        <v>967</v>
      </c>
    </row>
    <row r="20" spans="1:10" ht="38.4" customHeight="1" x14ac:dyDescent="0.25">
      <c r="A20" s="97" t="s">
        <v>59</v>
      </c>
      <c r="B20" s="98" t="s">
        <v>320</v>
      </c>
      <c r="C20" s="99" t="s">
        <v>248</v>
      </c>
      <c r="D20" s="100" t="s">
        <v>248</v>
      </c>
      <c r="E20" s="100" t="s">
        <v>248</v>
      </c>
      <c r="F20" s="100" t="s">
        <v>123</v>
      </c>
      <c r="G20" s="101" t="s">
        <v>248</v>
      </c>
      <c r="H20" s="102" t="str">
        <f>"Calculations consider 18m2 per each family member and in addition 15m2 per family. Housing costs are taken into account up to specified standard limits. The average housing costs covered by the subsistence benefit amount to "&amp;TEXT(146.62*1.007*12/'Average wages'!B11,"0%")&amp;" of AW. This is used as a proxy maximum limit in the model."</f>
        <v>Calculations consider 18m2 per each family member and in addition 15m2 per family. Housing costs are taken into account up to specified standard limits. The average housing costs covered by the subsistence benefit amount to 11% of AW. This is used as a proxy maximum limit in the model.</v>
      </c>
      <c r="I20" s="103">
        <f>146.62*1.007*12/'Average wages'!B11</f>
        <v>0.10649665122487149</v>
      </c>
      <c r="J20" s="104" t="s">
        <v>123</v>
      </c>
    </row>
    <row r="21" spans="1:10" ht="34.5" x14ac:dyDescent="0.25">
      <c r="A21" s="97" t="s">
        <v>1304</v>
      </c>
      <c r="B21" s="106" t="s">
        <v>321</v>
      </c>
      <c r="C21" s="99" t="s">
        <v>248</v>
      </c>
      <c r="D21" s="100" t="s">
        <v>248</v>
      </c>
      <c r="E21" s="100" t="s">
        <v>123</v>
      </c>
      <c r="F21" s="100" t="s">
        <v>248</v>
      </c>
      <c r="G21" s="101" t="s">
        <v>248</v>
      </c>
      <c r="H21" s="102" t="s">
        <v>322</v>
      </c>
      <c r="I21" s="103">
        <f>1120*0.8*12/'Average wages'!B12</f>
        <v>0.23517683356057487</v>
      </c>
      <c r="J21" s="104" t="s">
        <v>323</v>
      </c>
    </row>
    <row r="22" spans="1:10" ht="60" x14ac:dyDescent="0.25">
      <c r="A22" s="97" t="s">
        <v>61</v>
      </c>
      <c r="B22" s="98" t="s">
        <v>324</v>
      </c>
      <c r="C22" s="99" t="s">
        <v>248</v>
      </c>
      <c r="D22" s="100" t="s">
        <v>248</v>
      </c>
      <c r="E22" s="100" t="s">
        <v>123</v>
      </c>
      <c r="F22" s="100" t="s">
        <v>248</v>
      </c>
      <c r="G22" s="101" t="s">
        <v>248</v>
      </c>
      <c r="H22" s="116" t="s">
        <v>325</v>
      </c>
      <c r="I22" s="103">
        <v>0.14460000000000001</v>
      </c>
      <c r="J22" s="104" t="s">
        <v>123</v>
      </c>
    </row>
    <row r="23" spans="1:10" ht="37.5" x14ac:dyDescent="0.25">
      <c r="A23" s="97" t="s">
        <v>1410</v>
      </c>
      <c r="B23" s="106" t="s">
        <v>326</v>
      </c>
      <c r="C23" s="99" t="s">
        <v>248</v>
      </c>
      <c r="D23" s="100" t="s">
        <v>248</v>
      </c>
      <c r="E23" s="100" t="s">
        <v>123</v>
      </c>
      <c r="F23" s="100" t="s">
        <v>248</v>
      </c>
      <c r="G23" s="101" t="s">
        <v>248</v>
      </c>
      <c r="H23" s="116" t="s">
        <v>601</v>
      </c>
      <c r="I23" s="103">
        <f>9369/'Average wages'!B14</f>
        <v>0.17981401864878932</v>
      </c>
      <c r="J23" s="116" t="s">
        <v>828</v>
      </c>
    </row>
    <row r="24" spans="1:10" ht="23" x14ac:dyDescent="0.25">
      <c r="A24" s="97" t="s">
        <v>63</v>
      </c>
      <c r="B24" s="106" t="s">
        <v>1305</v>
      </c>
      <c r="C24" s="99" t="s">
        <v>248</v>
      </c>
      <c r="D24" s="100" t="s">
        <v>248</v>
      </c>
      <c r="E24" s="100" t="s">
        <v>123</v>
      </c>
      <c r="F24" s="100" t="s">
        <v>123</v>
      </c>
      <c r="G24" s="101" t="s">
        <v>248</v>
      </c>
      <c r="H24" s="102" t="s">
        <v>1306</v>
      </c>
      <c r="I24" s="103">
        <f>(70+35*3)*12/'Average wages'!B15</f>
        <v>9.9341438673415286E-2</v>
      </c>
      <c r="J24" s="104" t="s">
        <v>123</v>
      </c>
    </row>
    <row r="25" spans="1:10" x14ac:dyDescent="0.25">
      <c r="A25" s="97" t="s">
        <v>65</v>
      </c>
      <c r="B25" s="106" t="s">
        <v>609</v>
      </c>
      <c r="C25" s="99" t="s">
        <v>248</v>
      </c>
      <c r="D25" s="100" t="s">
        <v>248</v>
      </c>
      <c r="E25" s="100" t="s">
        <v>123</v>
      </c>
      <c r="F25" s="100" t="s">
        <v>123</v>
      </c>
      <c r="G25" s="101" t="s">
        <v>248</v>
      </c>
      <c r="H25" s="102" t="s">
        <v>1307</v>
      </c>
      <c r="I25" s="103">
        <f>653388/'Average wages'!B17</f>
        <v>7.065868236955096E-2</v>
      </c>
      <c r="J25" s="104" t="s">
        <v>123</v>
      </c>
    </row>
    <row r="26" spans="1:10" ht="75" x14ac:dyDescent="0.25">
      <c r="A26" s="97" t="s">
        <v>66</v>
      </c>
      <c r="B26" s="115" t="s">
        <v>327</v>
      </c>
      <c r="C26" s="99" t="s">
        <v>248</v>
      </c>
      <c r="D26" s="100" t="s">
        <v>248</v>
      </c>
      <c r="E26" s="100" t="s">
        <v>123</v>
      </c>
      <c r="F26" s="100" t="s">
        <v>248</v>
      </c>
      <c r="G26" s="101" t="s">
        <v>248</v>
      </c>
      <c r="H26" s="116" t="s">
        <v>1078</v>
      </c>
      <c r="I26" s="103">
        <f>(1275*12-40*52)/'Average wages'!B18</f>
        <v>0.28317411585851754</v>
      </c>
      <c r="J26" s="104" t="s">
        <v>1079</v>
      </c>
    </row>
    <row r="27" spans="1:10" ht="34.5" x14ac:dyDescent="0.25">
      <c r="A27" s="97" t="s">
        <v>314</v>
      </c>
      <c r="B27" s="98" t="s">
        <v>969</v>
      </c>
      <c r="C27" s="99" t="s">
        <v>248</v>
      </c>
      <c r="D27" s="100" t="s">
        <v>248</v>
      </c>
      <c r="E27" s="100" t="s">
        <v>123</v>
      </c>
      <c r="F27" s="100" t="s">
        <v>248</v>
      </c>
      <c r="G27" s="101" t="s">
        <v>248</v>
      </c>
      <c r="H27" s="102" t="s">
        <v>747</v>
      </c>
      <c r="I27" s="103">
        <f>(1170*12)/'Average wages'!B19</f>
        <v>8.937401397983058E-2</v>
      </c>
      <c r="J27" s="104" t="s">
        <v>123</v>
      </c>
    </row>
    <row r="28" spans="1:10" ht="80.5" x14ac:dyDescent="0.25">
      <c r="A28" s="97" t="s">
        <v>68</v>
      </c>
      <c r="B28" s="98" t="s">
        <v>1081</v>
      </c>
      <c r="C28" s="99" t="s">
        <v>123</v>
      </c>
      <c r="D28" s="100" t="s">
        <v>248</v>
      </c>
      <c r="E28" s="100" t="s">
        <v>123</v>
      </c>
      <c r="F28" s="100" t="s">
        <v>123</v>
      </c>
      <c r="G28" s="101" t="s">
        <v>123</v>
      </c>
      <c r="H28" s="102" t="s">
        <v>1082</v>
      </c>
      <c r="I28" s="103">
        <f>(300)/'Average wages'!B20</f>
        <v>9.9229508172474137E-3</v>
      </c>
      <c r="J28" s="98" t="s">
        <v>1083</v>
      </c>
    </row>
    <row r="29" spans="1:10" ht="50" x14ac:dyDescent="0.25">
      <c r="A29" s="105" t="s">
        <v>1233</v>
      </c>
      <c r="B29" s="115" t="s">
        <v>673</v>
      </c>
      <c r="C29" s="99" t="s">
        <v>248</v>
      </c>
      <c r="D29" s="100" t="s">
        <v>248</v>
      </c>
      <c r="E29" s="100" t="s">
        <v>123</v>
      </c>
      <c r="F29" s="100" t="s">
        <v>248</v>
      </c>
      <c r="G29" s="101" t="s">
        <v>248</v>
      </c>
      <c r="H29" s="116" t="s">
        <v>674</v>
      </c>
      <c r="I29" s="103">
        <f>69800*12/'Average wages'!B21</f>
        <v>0.16153727684249028</v>
      </c>
      <c r="J29" s="104" t="s">
        <v>95</v>
      </c>
    </row>
    <row r="30" spans="1:10" ht="24" x14ac:dyDescent="0.25">
      <c r="A30" s="97" t="s">
        <v>70</v>
      </c>
      <c r="B30" s="260" t="s">
        <v>1447</v>
      </c>
      <c r="C30" s="99"/>
      <c r="D30" s="100"/>
      <c r="E30" s="100"/>
      <c r="F30" s="100"/>
      <c r="G30" s="101"/>
      <c r="H30" s="116"/>
      <c r="I30" s="103"/>
      <c r="J30" s="104"/>
    </row>
    <row r="31" spans="1:10" ht="34.5" x14ac:dyDescent="0.25">
      <c r="A31" s="97" t="s">
        <v>1406</v>
      </c>
      <c r="B31" s="298" t="s">
        <v>580</v>
      </c>
      <c r="C31" s="99" t="s">
        <v>248</v>
      </c>
      <c r="D31" s="100" t="s">
        <v>248</v>
      </c>
      <c r="E31" s="100" t="s">
        <v>248</v>
      </c>
      <c r="F31" s="100" t="s">
        <v>248</v>
      </c>
      <c r="G31" s="101" t="s">
        <v>248</v>
      </c>
      <c r="H31" s="102" t="s">
        <v>1308</v>
      </c>
      <c r="I31" s="103">
        <f>46.19*1.023*4*12/'Average wages'!B23</f>
        <v>0.17565048766581418</v>
      </c>
      <c r="J31" s="104" t="s">
        <v>123</v>
      </c>
    </row>
    <row r="32" spans="1:10" ht="34.5" x14ac:dyDescent="0.25">
      <c r="A32" s="97" t="s">
        <v>86</v>
      </c>
      <c r="B32" s="106" t="s">
        <v>1309</v>
      </c>
      <c r="C32" s="99" t="s">
        <v>248</v>
      </c>
      <c r="D32" s="100" t="s">
        <v>248</v>
      </c>
      <c r="E32" s="100" t="s">
        <v>248</v>
      </c>
      <c r="F32" s="100" t="s">
        <v>248</v>
      </c>
      <c r="G32" s="101" t="s">
        <v>248</v>
      </c>
      <c r="H32" s="102" t="s">
        <v>1310</v>
      </c>
      <c r="I32" s="299">
        <f>92.42*4*12/'Average wages'!B24</f>
        <v>0.27007732214582281</v>
      </c>
      <c r="J32" s="104" t="s">
        <v>1311</v>
      </c>
    </row>
    <row r="33" spans="1:10" ht="50.5" thickBot="1" x14ac:dyDescent="0.3">
      <c r="A33" s="97" t="s">
        <v>71</v>
      </c>
      <c r="B33" s="298" t="s">
        <v>679</v>
      </c>
      <c r="C33" s="99" t="s">
        <v>248</v>
      </c>
      <c r="D33" s="100" t="s">
        <v>248</v>
      </c>
      <c r="E33" s="100" t="s">
        <v>123</v>
      </c>
      <c r="F33" s="100" t="s">
        <v>123</v>
      </c>
      <c r="G33" s="101" t="s">
        <v>248</v>
      </c>
      <c r="H33" s="116" t="s">
        <v>970</v>
      </c>
      <c r="I33" s="103">
        <f>174*12/'Average wages'!$B$25</f>
        <v>3.5975244867605963E-2</v>
      </c>
      <c r="J33" s="104" t="s">
        <v>971</v>
      </c>
    </row>
    <row r="34" spans="1:10" ht="38" thickBot="1" x14ac:dyDescent="0.3">
      <c r="A34" s="97" t="s">
        <v>72</v>
      </c>
      <c r="B34" s="298" t="s">
        <v>328</v>
      </c>
      <c r="C34" s="99" t="s">
        <v>248</v>
      </c>
      <c r="D34" s="100" t="s">
        <v>248</v>
      </c>
      <c r="E34" s="100" t="s">
        <v>123</v>
      </c>
      <c r="F34" s="100" t="s">
        <v>123</v>
      </c>
      <c r="G34" s="101" t="s">
        <v>248</v>
      </c>
      <c r="H34" s="300" t="s">
        <v>704</v>
      </c>
      <c r="I34" s="103">
        <f>(432.51-232.65+0.65*(663.4-432.51)*12)/'Average wages'!$B$26</f>
        <v>3.6482444697083415E-2</v>
      </c>
      <c r="J34" s="104" t="s">
        <v>123</v>
      </c>
    </row>
    <row r="35" spans="1:10" ht="24" x14ac:dyDescent="0.25">
      <c r="A35" s="97" t="s">
        <v>1411</v>
      </c>
      <c r="B35" s="260" t="s">
        <v>1447</v>
      </c>
      <c r="C35" s="99"/>
      <c r="D35" s="100"/>
      <c r="E35" s="100"/>
      <c r="F35" s="100"/>
      <c r="G35" s="101"/>
      <c r="H35" s="116"/>
      <c r="I35" s="103"/>
      <c r="J35" s="104"/>
    </row>
    <row r="36" spans="1:10" ht="62.5" x14ac:dyDescent="0.25">
      <c r="A36" s="97" t="s">
        <v>315</v>
      </c>
      <c r="B36" s="106" t="s">
        <v>329</v>
      </c>
      <c r="C36" s="99" t="s">
        <v>248</v>
      </c>
      <c r="D36" s="100" t="s">
        <v>248</v>
      </c>
      <c r="E36" s="100" t="s">
        <v>123</v>
      </c>
      <c r="F36" s="100" t="s">
        <v>248</v>
      </c>
      <c r="G36" s="101" t="s">
        <v>248</v>
      </c>
      <c r="H36" s="116" t="s">
        <v>712</v>
      </c>
      <c r="I36" s="103">
        <f>(131948-20925)*0.737/'Average wages'!B28</f>
        <v>0.13042383598477927</v>
      </c>
      <c r="J36" s="104" t="s">
        <v>722</v>
      </c>
    </row>
    <row r="37" spans="1:10" ht="37.5" x14ac:dyDescent="0.25">
      <c r="A37" s="97" t="s">
        <v>244</v>
      </c>
      <c r="B37" s="298" t="s">
        <v>330</v>
      </c>
      <c r="C37" s="99" t="s">
        <v>248</v>
      </c>
      <c r="D37" s="100" t="s">
        <v>248</v>
      </c>
      <c r="E37" s="100" t="s">
        <v>248</v>
      </c>
      <c r="F37" s="100" t="s">
        <v>123</v>
      </c>
      <c r="G37" s="101" t="s">
        <v>248</v>
      </c>
      <c r="H37" s="116" t="s">
        <v>1312</v>
      </c>
      <c r="I37" s="103" t="s">
        <v>331</v>
      </c>
      <c r="J37" s="104" t="s">
        <v>332</v>
      </c>
    </row>
    <row r="38" spans="1:10" ht="34.5" x14ac:dyDescent="0.25">
      <c r="A38" s="97" t="s">
        <v>74</v>
      </c>
      <c r="B38" s="298" t="s">
        <v>333</v>
      </c>
      <c r="C38" s="99" t="s">
        <v>248</v>
      </c>
      <c r="D38" s="100" t="s">
        <v>248</v>
      </c>
      <c r="E38" s="100" t="s">
        <v>123</v>
      </c>
      <c r="F38" s="100" t="s">
        <v>123</v>
      </c>
      <c r="G38" s="101" t="s">
        <v>248</v>
      </c>
      <c r="H38" s="102" t="s">
        <v>1189</v>
      </c>
      <c r="I38" s="299" t="s">
        <v>95</v>
      </c>
      <c r="J38" s="104" t="s">
        <v>95</v>
      </c>
    </row>
    <row r="39" spans="1:10" ht="39" x14ac:dyDescent="0.25">
      <c r="A39" s="97" t="s">
        <v>75</v>
      </c>
      <c r="B39" s="298" t="s">
        <v>1085</v>
      </c>
      <c r="C39" s="99" t="s">
        <v>248</v>
      </c>
      <c r="D39" s="100" t="s">
        <v>248</v>
      </c>
      <c r="E39" s="100" t="s">
        <v>123</v>
      </c>
      <c r="F39" s="100" t="s">
        <v>123</v>
      </c>
      <c r="G39" s="101" t="s">
        <v>123</v>
      </c>
      <c r="H39" s="116" t="s">
        <v>1086</v>
      </c>
      <c r="I39" s="103">
        <f>91.94*12/'Average wages'!B31</f>
        <v>8.3579875775547749E-2</v>
      </c>
      <c r="J39" s="104" t="s">
        <v>95</v>
      </c>
    </row>
    <row r="40" spans="1:10" ht="37.5" x14ac:dyDescent="0.25">
      <c r="A40" s="97" t="s">
        <v>76</v>
      </c>
      <c r="B40" s="298" t="s">
        <v>334</v>
      </c>
      <c r="C40" s="99" t="s">
        <v>248</v>
      </c>
      <c r="D40" s="100" t="s">
        <v>248</v>
      </c>
      <c r="E40" s="100" t="s">
        <v>248</v>
      </c>
      <c r="F40" s="100" t="s">
        <v>123</v>
      </c>
      <c r="G40" s="101" t="s">
        <v>248</v>
      </c>
      <c r="H40" s="116" t="s">
        <v>1084</v>
      </c>
      <c r="I40" s="103" t="str">
        <f>"Varies by family size: - "&amp;TEXT(85*12*100/'Average wages'!B32,0)&amp;"% of AW  for a single peron;
"&amp;TEXT(180*12*100/'Average wages'!B32,0)&amp;"% of AW for a household with 4 members."</f>
        <v>Varies by family size: - 5% of AW  for a single peron;
11% of AW for a household with 4 members.</v>
      </c>
      <c r="J40" s="104" t="s">
        <v>95</v>
      </c>
    </row>
    <row r="41" spans="1:10" ht="25" x14ac:dyDescent="0.25">
      <c r="A41" s="97" t="s">
        <v>77</v>
      </c>
      <c r="B41" s="98" t="s">
        <v>317</v>
      </c>
      <c r="C41" s="99" t="s">
        <v>95</v>
      </c>
      <c r="D41" s="100" t="s">
        <v>95</v>
      </c>
      <c r="E41" s="100" t="s">
        <v>95</v>
      </c>
      <c r="F41" s="100" t="s">
        <v>95</v>
      </c>
      <c r="G41" s="101" t="s">
        <v>95</v>
      </c>
      <c r="H41" s="116" t="s">
        <v>1210</v>
      </c>
      <c r="I41" s="299" t="s">
        <v>95</v>
      </c>
      <c r="J41" s="104" t="s">
        <v>123</v>
      </c>
    </row>
    <row r="42" spans="1:10" ht="50" x14ac:dyDescent="0.25">
      <c r="A42" s="97" t="s">
        <v>78</v>
      </c>
      <c r="B42" s="298" t="s">
        <v>972</v>
      </c>
      <c r="C42" s="99" t="s">
        <v>248</v>
      </c>
      <c r="D42" s="100" t="s">
        <v>248</v>
      </c>
      <c r="E42" s="100" t="s">
        <v>123</v>
      </c>
      <c r="F42" s="100" t="s">
        <v>123</v>
      </c>
      <c r="G42" s="101" t="s">
        <v>248</v>
      </c>
      <c r="H42" s="116" t="s">
        <v>335</v>
      </c>
      <c r="I42" s="103">
        <f>(2000 + 50%*(3300-1400) + 50%*(5900-3300))*12/'Average wages'!$B$34</f>
        <v>0.10949685716800676</v>
      </c>
      <c r="J42" s="104" t="s">
        <v>336</v>
      </c>
    </row>
    <row r="43" spans="1:10" ht="23" x14ac:dyDescent="0.25">
      <c r="A43" s="97" t="s">
        <v>79</v>
      </c>
      <c r="B43" s="98" t="s">
        <v>317</v>
      </c>
      <c r="C43" s="99" t="s">
        <v>95</v>
      </c>
      <c r="D43" s="100" t="s">
        <v>95</v>
      </c>
      <c r="E43" s="100" t="s">
        <v>95</v>
      </c>
      <c r="F43" s="100" t="s">
        <v>95</v>
      </c>
      <c r="G43" s="101" t="s">
        <v>95</v>
      </c>
      <c r="H43" s="102" t="s">
        <v>337</v>
      </c>
      <c r="I43" s="299" t="s">
        <v>95</v>
      </c>
      <c r="J43" s="104" t="s">
        <v>338</v>
      </c>
    </row>
    <row r="44" spans="1:10" x14ac:dyDescent="0.25">
      <c r="A44" s="97" t="s">
        <v>80</v>
      </c>
      <c r="B44" s="98" t="s">
        <v>317</v>
      </c>
      <c r="C44" s="99"/>
      <c r="D44" s="100"/>
      <c r="E44" s="100"/>
      <c r="F44" s="100"/>
      <c r="G44" s="101"/>
      <c r="H44" s="102"/>
      <c r="I44" s="299"/>
      <c r="J44" s="104"/>
    </row>
    <row r="45" spans="1:10" ht="25" x14ac:dyDescent="0.25">
      <c r="A45" s="97" t="s">
        <v>1413</v>
      </c>
      <c r="B45" s="106" t="s">
        <v>1214</v>
      </c>
      <c r="C45" s="99" t="s">
        <v>248</v>
      </c>
      <c r="D45" s="100" t="s">
        <v>248</v>
      </c>
      <c r="E45" s="100" t="s">
        <v>123</v>
      </c>
      <c r="F45" s="100" t="s">
        <v>248</v>
      </c>
      <c r="G45" s="101" t="s">
        <v>248</v>
      </c>
      <c r="H45" s="116" t="s">
        <v>1225</v>
      </c>
      <c r="I45" s="103">
        <f>7680.3/'Average wages'!B37</f>
        <v>0.18370721892948297</v>
      </c>
      <c r="J45" s="104" t="s">
        <v>123</v>
      </c>
    </row>
    <row r="46" spans="1:10" ht="74.150000000000006" customHeight="1" x14ac:dyDescent="0.25">
      <c r="A46" s="97" t="s">
        <v>316</v>
      </c>
      <c r="B46" s="98" t="s">
        <v>965</v>
      </c>
      <c r="C46" s="99" t="s">
        <v>95</v>
      </c>
      <c r="D46" s="100" t="s">
        <v>95</v>
      </c>
      <c r="E46" s="100" t="s">
        <v>95</v>
      </c>
      <c r="F46" s="100" t="s">
        <v>95</v>
      </c>
      <c r="G46" s="101" t="s">
        <v>95</v>
      </c>
      <c r="H46" s="102" t="s">
        <v>966</v>
      </c>
      <c r="I46" s="299" t="s">
        <v>95</v>
      </c>
      <c r="J46" s="104" t="str">
        <f>"Rent (if more than 50% of net income with a maximum of "&amp;TEXT(100*535*12/'Average wages'!B38,0)&amp;"% of AW) is deducted from income in SNAP means test"</f>
        <v>Rent (if more than 50% of net income with a maximum of 11% of AW) is deducted from income in SNAP means test</v>
      </c>
    </row>
    <row r="47" spans="1:10" x14ac:dyDescent="0.25">
      <c r="A47" s="21" t="s">
        <v>1149</v>
      </c>
      <c r="B47" s="107"/>
      <c r="C47" s="108"/>
      <c r="D47" s="109"/>
      <c r="E47" s="109"/>
      <c r="F47" s="109"/>
      <c r="G47" s="110"/>
      <c r="H47" s="111"/>
      <c r="I47" s="112"/>
      <c r="J47" s="113"/>
    </row>
    <row r="48" spans="1:10" ht="46" x14ac:dyDescent="0.25">
      <c r="A48" s="296" t="s">
        <v>83</v>
      </c>
      <c r="B48" s="98" t="s">
        <v>317</v>
      </c>
      <c r="C48" s="99" t="s">
        <v>95</v>
      </c>
      <c r="D48" s="100" t="s">
        <v>95</v>
      </c>
      <c r="E48" s="100" t="s">
        <v>95</v>
      </c>
      <c r="F48" s="100" t="s">
        <v>95</v>
      </c>
      <c r="G48" s="101" t="s">
        <v>95</v>
      </c>
      <c r="H48" s="102" t="s">
        <v>1087</v>
      </c>
      <c r="I48" s="299" t="s">
        <v>95</v>
      </c>
      <c r="J48" s="104" t="s">
        <v>282</v>
      </c>
    </row>
    <row r="49" spans="1:10" ht="34.5" x14ac:dyDescent="0.25">
      <c r="A49" s="97" t="s">
        <v>84</v>
      </c>
      <c r="B49" s="298" t="s">
        <v>620</v>
      </c>
      <c r="C49" s="99" t="s">
        <v>123</v>
      </c>
      <c r="D49" s="100" t="s">
        <v>248</v>
      </c>
      <c r="E49" s="100" t="s">
        <v>123</v>
      </c>
      <c r="F49" s="100" t="s">
        <v>123</v>
      </c>
      <c r="G49" s="101" t="s">
        <v>123</v>
      </c>
      <c r="H49" s="104" t="s">
        <v>1313</v>
      </c>
      <c r="I49" s="103">
        <f>800*(0.6*2+0.4*2)/2*12/'Average wages'!B41</f>
        <v>9.2740795578245022E-2</v>
      </c>
      <c r="J49" s="104" t="s">
        <v>621</v>
      </c>
    </row>
    <row r="50" spans="1:10" ht="39" x14ac:dyDescent="0.25">
      <c r="A50" s="97" t="s">
        <v>1314</v>
      </c>
      <c r="B50" s="298" t="s">
        <v>723</v>
      </c>
      <c r="C50" s="99" t="s">
        <v>248</v>
      </c>
      <c r="D50" s="100" t="s">
        <v>248</v>
      </c>
      <c r="E50" s="100" t="s">
        <v>248</v>
      </c>
      <c r="F50" s="100" t="s">
        <v>248</v>
      </c>
      <c r="G50" s="101" t="s">
        <v>248</v>
      </c>
      <c r="H50" s="104" t="s">
        <v>640</v>
      </c>
      <c r="I50" s="103">
        <f>4.06*(55+25+20)*12/'Average wages'!B42</f>
        <v>0.21033696298159629</v>
      </c>
      <c r="J50" s="104" t="s">
        <v>123</v>
      </c>
    </row>
    <row r="51" spans="1:10" ht="96" customHeight="1" x14ac:dyDescent="0.25">
      <c r="A51" s="301" t="s">
        <v>192</v>
      </c>
      <c r="B51" s="298" t="s">
        <v>1088</v>
      </c>
      <c r="C51" s="99" t="s">
        <v>248</v>
      </c>
      <c r="D51" s="100" t="s">
        <v>248</v>
      </c>
      <c r="E51" s="100" t="s">
        <v>248</v>
      </c>
      <c r="F51" s="100" t="s">
        <v>123</v>
      </c>
      <c r="G51" s="101" t="s">
        <v>248</v>
      </c>
      <c r="H51" s="116" t="s">
        <v>1089</v>
      </c>
      <c r="I51" s="103" t="str">
        <f>"Varies by family size: 
EUR 3600 ("&amp;TEXT(3600*100/'Average wages'!B43,0)&amp;"% of AW)  for a single peron; 
EUR 5000 ("&amp;TEXT(5000*100/'Average wages'!B43,0)&amp;"% of AW) for a couple with two children "</f>
        <v xml:space="preserve">Varies by family size: 
EUR 3600 (14% of AW)  for a single peron; 
EUR 5000 (19% of AW) for a couple with two children </v>
      </c>
      <c r="J51" s="104" t="str">
        <f>"Yes, recipients of non-contributory benefits receive also the 'rent element' of EUR 1.16 / week (EUR 60 / year, i.e. "&amp;TEXT(1.16*52*100/'Average wages'!B43,0.01)&amp;"% of AW) "</f>
        <v xml:space="preserve">Yes, recipients of non-contributory benefits receive also the 'rent element' of EUR 1.16 / week (EUR 60 / year, i.e. 0.21% of AW) </v>
      </c>
    </row>
    <row r="52" spans="1:10" x14ac:dyDescent="0.25">
      <c r="A52" s="97" t="s">
        <v>87</v>
      </c>
      <c r="B52" s="98" t="s">
        <v>317</v>
      </c>
      <c r="C52" s="99"/>
      <c r="D52" s="100"/>
      <c r="E52" s="100"/>
      <c r="F52" s="100"/>
      <c r="G52" s="101"/>
      <c r="H52" s="102"/>
      <c r="I52" s="299"/>
      <c r="J52" s="104"/>
    </row>
    <row r="53" spans="1:10" x14ac:dyDescent="0.25">
      <c r="A53" s="114"/>
      <c r="I53" s="302"/>
    </row>
    <row r="54" spans="1:10" ht="13" x14ac:dyDescent="0.3">
      <c r="A54" s="146" t="s">
        <v>88</v>
      </c>
      <c r="B54" s="86"/>
    </row>
    <row r="55" spans="1:10" ht="13" x14ac:dyDescent="0.3">
      <c r="A55" s="555" t="s">
        <v>89</v>
      </c>
      <c r="B55" s="146"/>
    </row>
    <row r="56" spans="1:10" ht="14" x14ac:dyDescent="0.3">
      <c r="A56" s="555" t="s">
        <v>1404</v>
      </c>
      <c r="B56" s="86"/>
      <c r="J56" s="303"/>
    </row>
    <row r="57" spans="1:10" x14ac:dyDescent="0.25">
      <c r="A57" s="555" t="s">
        <v>1409</v>
      </c>
      <c r="B57" s="87"/>
    </row>
    <row r="58" spans="1:10" x14ac:dyDescent="0.25">
      <c r="A58" s="555" t="s">
        <v>634</v>
      </c>
      <c r="B58" s="87"/>
    </row>
    <row r="59" spans="1:10" x14ac:dyDescent="0.25">
      <c r="A59" s="555" t="s">
        <v>1408</v>
      </c>
      <c r="B59" s="87"/>
    </row>
    <row r="60" spans="1:10" x14ac:dyDescent="0.25">
      <c r="A60" s="555" t="s">
        <v>577</v>
      </c>
      <c r="B60" s="87"/>
      <c r="J60" s="304"/>
    </row>
    <row r="61" spans="1:10" x14ac:dyDescent="0.25">
      <c r="A61" s="555" t="s">
        <v>1412</v>
      </c>
      <c r="B61" s="87"/>
    </row>
    <row r="62" spans="1:10" x14ac:dyDescent="0.25">
      <c r="A62" s="86"/>
      <c r="B62" s="86"/>
    </row>
    <row r="63" spans="1:10" ht="13" x14ac:dyDescent="0.3">
      <c r="A63" s="1" t="s">
        <v>91</v>
      </c>
      <c r="B63" s="295" t="s">
        <v>6</v>
      </c>
    </row>
  </sheetData>
  <autoFilter ref="A11:A52"/>
  <mergeCells count="9">
    <mergeCell ref="C10:G10"/>
    <mergeCell ref="A1:J1"/>
    <mergeCell ref="A2:J2"/>
    <mergeCell ref="B6:I7"/>
    <mergeCell ref="J6:J9"/>
    <mergeCell ref="B8:B9"/>
    <mergeCell ref="C8:G8"/>
    <mergeCell ref="H8:H9"/>
    <mergeCell ref="I8:I9"/>
  </mergeCells>
  <hyperlinks>
    <hyperlink ref="B63" r:id="rId1"/>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XFD187"/>
  <sheetViews>
    <sheetView topLeftCell="B1" zoomScale="80" zoomScaleNormal="80" workbookViewId="0">
      <pane xSplit="1" ySplit="9" topLeftCell="C10" activePane="bottomRight" state="frozen"/>
      <selection activeCell="J15" sqref="J15"/>
      <selection pane="topRight" activeCell="J15" sqref="J15"/>
      <selection pane="bottomLeft" activeCell="J15" sqref="J15"/>
      <selection pane="bottomRight" activeCell="B1" sqref="B1:L1"/>
    </sheetView>
  </sheetViews>
  <sheetFormatPr defaultColWidth="8.6328125" defaultRowHeight="12.5" x14ac:dyDescent="0.25"/>
  <cols>
    <col min="1" max="1" width="17.90625" style="23" hidden="1" customWidth="1"/>
    <col min="2" max="2" width="20" style="346" bestFit="1" customWidth="1"/>
    <col min="3" max="3" width="35.08984375" style="213" customWidth="1"/>
    <col min="4" max="4" width="12.08984375" style="213" bestFit="1" customWidth="1"/>
    <col min="5" max="5" width="12.90625" style="315" customWidth="1"/>
    <col min="6" max="6" width="35.54296875" style="213" customWidth="1"/>
    <col min="7" max="7" width="15.08984375" style="23" customWidth="1"/>
    <col min="8" max="8" width="17.90625" style="23" customWidth="1"/>
    <col min="9" max="9" width="22.54296875" style="23" customWidth="1"/>
    <col min="10" max="10" width="26.453125" style="23" customWidth="1"/>
    <col min="11" max="11" width="31" style="23" customWidth="1"/>
    <col min="12" max="12" width="12.36328125" style="23" customWidth="1"/>
    <col min="13" max="16384" width="8.6328125" style="23"/>
  </cols>
  <sheetData>
    <row r="1" spans="1:12" ht="19.25" x14ac:dyDescent="0.3">
      <c r="A1" s="124"/>
      <c r="B1" s="640" t="s">
        <v>1415</v>
      </c>
      <c r="C1" s="641"/>
      <c r="D1" s="641"/>
      <c r="E1" s="641"/>
      <c r="F1" s="641"/>
      <c r="G1" s="641"/>
      <c r="H1" s="641"/>
      <c r="I1" s="641"/>
      <c r="J1" s="641"/>
      <c r="K1" s="641"/>
      <c r="L1" s="641"/>
    </row>
    <row r="2" spans="1:12" ht="17.25" customHeight="1" x14ac:dyDescent="0.3">
      <c r="A2" s="124"/>
      <c r="B2" s="579">
        <v>2020</v>
      </c>
      <c r="C2" s="579"/>
      <c r="D2" s="579"/>
      <c r="E2" s="579"/>
      <c r="F2" s="579"/>
      <c r="G2" s="579"/>
      <c r="H2" s="579"/>
      <c r="I2" s="579"/>
      <c r="J2" s="579"/>
      <c r="K2" s="579"/>
      <c r="L2" s="579"/>
    </row>
    <row r="3" spans="1:12" ht="17.25" customHeight="1" x14ac:dyDescent="0.3">
      <c r="A3" s="124"/>
      <c r="B3" s="515"/>
      <c r="C3" s="515"/>
      <c r="D3" s="515"/>
      <c r="E3" s="515"/>
      <c r="F3" s="515"/>
      <c r="G3" s="515"/>
      <c r="H3" s="515"/>
      <c r="I3" s="515"/>
      <c r="J3" s="515"/>
      <c r="K3" s="515"/>
      <c r="L3" s="515"/>
    </row>
    <row r="4" spans="1:12" ht="11.25" hidden="1" customHeight="1" x14ac:dyDescent="0.25">
      <c r="A4" s="124"/>
      <c r="B4" s="220" t="s">
        <v>5</v>
      </c>
      <c r="C4" s="553" t="s">
        <v>8</v>
      </c>
      <c r="D4" s="553" t="s">
        <v>8</v>
      </c>
      <c r="E4" s="312" t="s">
        <v>8</v>
      </c>
      <c r="F4" s="553" t="s">
        <v>8</v>
      </c>
      <c r="G4" s="117" t="s">
        <v>339</v>
      </c>
      <c r="H4" s="25" t="s">
        <v>8</v>
      </c>
      <c r="I4" s="25" t="s">
        <v>8</v>
      </c>
      <c r="J4" s="25" t="s">
        <v>8</v>
      </c>
      <c r="K4" s="25" t="s">
        <v>8</v>
      </c>
      <c r="L4" s="25" t="s">
        <v>8</v>
      </c>
    </row>
    <row r="5" spans="1:12" ht="13.25" hidden="1" x14ac:dyDescent="0.25">
      <c r="A5" s="124"/>
      <c r="B5" s="220" t="s">
        <v>340</v>
      </c>
      <c r="C5" s="207" t="s">
        <v>341</v>
      </c>
      <c r="D5" s="207" t="s">
        <v>342</v>
      </c>
      <c r="E5" s="313" t="s">
        <v>343</v>
      </c>
      <c r="F5" s="207" t="s">
        <v>344</v>
      </c>
      <c r="G5" s="29" t="s">
        <v>345</v>
      </c>
      <c r="H5" s="124" t="s">
        <v>346</v>
      </c>
      <c r="I5" s="124" t="s">
        <v>347</v>
      </c>
      <c r="J5" s="124" t="s">
        <v>348</v>
      </c>
      <c r="K5" s="124" t="s">
        <v>349</v>
      </c>
      <c r="L5" s="124" t="s">
        <v>350</v>
      </c>
    </row>
    <row r="6" spans="1:12" x14ac:dyDescent="0.25">
      <c r="A6" s="124"/>
      <c r="B6" s="558"/>
      <c r="C6" s="607" t="s">
        <v>351</v>
      </c>
      <c r="D6" s="642" t="s">
        <v>352</v>
      </c>
      <c r="E6" s="622" t="s">
        <v>353</v>
      </c>
      <c r="F6" s="623"/>
      <c r="G6" s="621" t="s">
        <v>1416</v>
      </c>
      <c r="H6" s="622"/>
      <c r="I6" s="623"/>
      <c r="J6" s="615" t="s">
        <v>354</v>
      </c>
      <c r="K6" s="617"/>
      <c r="L6" s="118"/>
    </row>
    <row r="7" spans="1:12" ht="23.25" customHeight="1" x14ac:dyDescent="0.25">
      <c r="A7" s="124"/>
      <c r="B7" s="559"/>
      <c r="C7" s="608"/>
      <c r="D7" s="643"/>
      <c r="E7" s="644" t="s">
        <v>355</v>
      </c>
      <c r="F7" s="646" t="s">
        <v>221</v>
      </c>
      <c r="G7" s="607" t="s">
        <v>356</v>
      </c>
      <c r="H7" s="622" t="s">
        <v>373</v>
      </c>
      <c r="I7" s="623"/>
      <c r="J7" s="609" t="s">
        <v>1414</v>
      </c>
      <c r="K7" s="611" t="s">
        <v>357</v>
      </c>
      <c r="L7" s="650" t="s">
        <v>358</v>
      </c>
    </row>
    <row r="8" spans="1:12" ht="92" x14ac:dyDescent="0.25">
      <c r="A8" s="124"/>
      <c r="B8" s="559"/>
      <c r="C8" s="608"/>
      <c r="D8" s="643"/>
      <c r="E8" s="645"/>
      <c r="F8" s="647"/>
      <c r="G8" s="608"/>
      <c r="H8" s="536" t="s">
        <v>372</v>
      </c>
      <c r="I8" s="552" t="s">
        <v>374</v>
      </c>
      <c r="J8" s="648"/>
      <c r="K8" s="649"/>
      <c r="L8" s="651"/>
    </row>
    <row r="9" spans="1:12" ht="13.25" x14ac:dyDescent="0.25">
      <c r="A9" s="124"/>
      <c r="B9" s="560"/>
      <c r="C9" s="265" t="s">
        <v>39</v>
      </c>
      <c r="D9" s="265" t="s">
        <v>40</v>
      </c>
      <c r="E9" s="126" t="s">
        <v>41</v>
      </c>
      <c r="F9" s="125" t="s">
        <v>42</v>
      </c>
      <c r="G9" s="407" t="s">
        <v>43</v>
      </c>
      <c r="H9" s="126" t="s">
        <v>44</v>
      </c>
      <c r="I9" s="125" t="s">
        <v>45</v>
      </c>
      <c r="J9" s="126" t="s">
        <v>47</v>
      </c>
      <c r="K9" s="59" t="s">
        <v>48</v>
      </c>
      <c r="L9" s="407" t="s">
        <v>49</v>
      </c>
    </row>
    <row r="10" spans="1:12" ht="13.25" x14ac:dyDescent="0.25">
      <c r="A10" s="124"/>
      <c r="B10" s="561" t="s">
        <v>53</v>
      </c>
      <c r="C10" s="208"/>
      <c r="D10" s="208"/>
      <c r="E10" s="126"/>
      <c r="F10" s="214"/>
      <c r="G10" s="407"/>
      <c r="H10" s="126"/>
      <c r="I10" s="125"/>
      <c r="J10" s="126"/>
      <c r="K10" s="125"/>
      <c r="L10" s="407"/>
    </row>
    <row r="11" spans="1:12" ht="68.400000000000006" x14ac:dyDescent="0.25">
      <c r="A11" s="317" t="s">
        <v>359</v>
      </c>
      <c r="B11" s="221" t="s">
        <v>178</v>
      </c>
      <c r="C11" s="565" t="s">
        <v>375</v>
      </c>
      <c r="D11" s="209" t="s">
        <v>376</v>
      </c>
      <c r="E11" s="398" t="s">
        <v>444</v>
      </c>
      <c r="F11" s="215" t="s">
        <v>729</v>
      </c>
      <c r="G11" s="408">
        <f>5621/'Average wages'!B4</f>
        <v>6.1863725911006924E-2</v>
      </c>
      <c r="H11" s="398" t="s">
        <v>377</v>
      </c>
      <c r="I11" s="119">
        <v>0</v>
      </c>
      <c r="J11" s="318" t="str">
        <f>"AUD 54,677 ("&amp;TEXT(54677/'Average wages'!B4,"0%")&amp;" of AW)"</f>
        <v>AUD 54,677 (60% of AW)</v>
      </c>
      <c r="K11" s="319" t="str">
        <f>"Withdrawal occurs in two stages: benefit withdrawn at rate of 20% until it reaches AUD 98,988 per year, then at 30%"</f>
        <v>Withdrawal occurs in two stages: benefit withdrawn at rate of 20% until it reaches AUD 98,988 per year, then at 30%</v>
      </c>
      <c r="L11" s="112" t="s">
        <v>123</v>
      </c>
    </row>
    <row r="12" spans="1:12" ht="57" x14ac:dyDescent="0.25">
      <c r="A12" s="317" t="s">
        <v>361</v>
      </c>
      <c r="B12" s="79" t="s">
        <v>178</v>
      </c>
      <c r="C12" s="566" t="s">
        <v>378</v>
      </c>
      <c r="D12" s="210" t="s">
        <v>376</v>
      </c>
      <c r="E12" s="399" t="s">
        <v>444</v>
      </c>
      <c r="F12" s="216" t="s">
        <v>123</v>
      </c>
      <c r="G12" s="409">
        <f>4500.45/'Average wages'!B4</f>
        <v>4.9531151979397101E-2</v>
      </c>
      <c r="H12" s="399" t="s">
        <v>398</v>
      </c>
      <c r="I12" s="121" t="s">
        <v>136</v>
      </c>
      <c r="J12" s="320" t="str">
        <f>"AUD 100,000 ("&amp;TEXT(100000/'Average wages'!B4,"0%")&amp;" of AW) for lone parents and higher earner in couples.
AUD 5,694 ("&amp;TEXT(5694/'Average wages'!B4,"0%")&amp;" of AW) for lower earner in couples."</f>
        <v>AUD 100,000 (110% of AW) for lone parents and higher earner in couples.
AUD 5,694 (6% of AW) for lower earner in couples.</v>
      </c>
      <c r="K12" s="321" t="str">
        <f>"For lone parents and higher earner in couples, benefit withdrawn in full if income exceeds threshold.
For lower earner in couples, withdrawal rate is 20% above the threshold"</f>
        <v>For lone parents and higher earner in couples, benefit withdrawn in full if income exceeds threshold.
For lower earner in couples, withdrawal rate is 20% above the threshold</v>
      </c>
      <c r="L12" s="330" t="s">
        <v>123</v>
      </c>
    </row>
    <row r="13" spans="1:12" ht="45.65" x14ac:dyDescent="0.25">
      <c r="A13" s="317" t="s">
        <v>362</v>
      </c>
      <c r="B13" s="222" t="s">
        <v>178</v>
      </c>
      <c r="C13" s="567" t="s">
        <v>379</v>
      </c>
      <c r="D13" s="211" t="s">
        <v>376</v>
      </c>
      <c r="E13" s="400" t="s">
        <v>1093</v>
      </c>
      <c r="F13" s="217" t="s">
        <v>844</v>
      </c>
      <c r="G13" s="305">
        <f>(780.7*26+12*26+30.2*4+6.2*26)/'Average wages'!B4</f>
        <v>0.2299358360572743</v>
      </c>
      <c r="H13" s="400">
        <v>0</v>
      </c>
      <c r="I13" s="322" t="s">
        <v>136</v>
      </c>
      <c r="J13" s="323" t="str">
        <f>"AUD 188.60/fortnight ("&amp;TEXT(188.6*26/'Average wages'!B4,"0%")&amp;" of AW) for a one-child family with an addition of AUD 24.60 ("&amp;TEXT(24.6*26/'Average wages'!B4,"0%")&amp;" of AW) for each subsequent child"</f>
        <v>AUD 188.60/fortnight (5% of AW) for a one-child family with an addition of AUD 24.60 (1% of AW) for each subsequent child</v>
      </c>
      <c r="K13" s="324">
        <v>0.4</v>
      </c>
      <c r="L13" s="332" t="s">
        <v>248</v>
      </c>
    </row>
    <row r="14" spans="1:12" ht="57" x14ac:dyDescent="0.25">
      <c r="A14" s="317" t="s">
        <v>359</v>
      </c>
      <c r="B14" s="325" t="s">
        <v>54</v>
      </c>
      <c r="C14" s="69" t="s">
        <v>628</v>
      </c>
      <c r="D14" s="69" t="s">
        <v>380</v>
      </c>
      <c r="E14" s="398" t="s">
        <v>629</v>
      </c>
      <c r="F14" s="73" t="s">
        <v>1157</v>
      </c>
      <c r="G14" s="408">
        <f>141.5*12/'Average wages'!B5</f>
        <v>3.4896551289043357E-2</v>
      </c>
      <c r="H14" s="398" t="s">
        <v>377</v>
      </c>
      <c r="I14" s="128" t="s">
        <v>630</v>
      </c>
      <c r="J14" s="533" t="str">
        <f>"For children aged 19 or over, there is a means test against their own income, with an income disregard of EUR 10,000 ("&amp;TEXT(10000/'Average wages'!B5,"0%")&amp;" of AW), [not modelled]"</f>
        <v>For children aged 19 or over, there is a means test against their own income, with an income disregard of EUR 10,000 (21% of AW), [not modelled]</v>
      </c>
      <c r="K14" s="122" t="s">
        <v>864</v>
      </c>
      <c r="L14" s="112" t="s">
        <v>95</v>
      </c>
    </row>
    <row r="15" spans="1:12" ht="13.25" x14ac:dyDescent="0.25">
      <c r="A15" s="317" t="s">
        <v>361</v>
      </c>
      <c r="B15" s="130" t="s">
        <v>54</v>
      </c>
      <c r="C15" s="326" t="s">
        <v>1158</v>
      </c>
      <c r="D15" s="326" t="s">
        <v>380</v>
      </c>
      <c r="E15" s="399" t="s">
        <v>629</v>
      </c>
      <c r="F15" s="191" t="s">
        <v>845</v>
      </c>
      <c r="G15" s="409">
        <f>700.8/'Average wages'!B5</f>
        <v>1.4402534242262417E-2</v>
      </c>
      <c r="H15" s="399">
        <v>0</v>
      </c>
      <c r="I15" s="127">
        <v>0</v>
      </c>
      <c r="J15" s="535" t="s">
        <v>95</v>
      </c>
      <c r="K15" s="120" t="s">
        <v>95</v>
      </c>
      <c r="L15" s="330" t="s">
        <v>95</v>
      </c>
    </row>
    <row r="16" spans="1:12" ht="13.25" x14ac:dyDescent="0.25">
      <c r="A16" s="317" t="s">
        <v>360</v>
      </c>
      <c r="B16" s="130" t="s">
        <v>54</v>
      </c>
      <c r="C16" s="326" t="s">
        <v>382</v>
      </c>
      <c r="D16" s="326" t="s">
        <v>380</v>
      </c>
      <c r="E16" s="399" t="s">
        <v>839</v>
      </c>
      <c r="F16" s="191" t="s">
        <v>123</v>
      </c>
      <c r="G16" s="410">
        <f>100/'Average wages'!B5</f>
        <v>2.0551561418753451E-3</v>
      </c>
      <c r="H16" s="399">
        <v>0</v>
      </c>
      <c r="I16" s="127">
        <v>0</v>
      </c>
      <c r="J16" s="535" t="s">
        <v>95</v>
      </c>
      <c r="K16" s="120" t="s">
        <v>95</v>
      </c>
      <c r="L16" s="330" t="s">
        <v>95</v>
      </c>
    </row>
    <row r="17" spans="1:12" ht="35" x14ac:dyDescent="0.25">
      <c r="A17" s="317" t="s">
        <v>362</v>
      </c>
      <c r="B17" s="130" t="s">
        <v>54</v>
      </c>
      <c r="C17" s="326" t="s">
        <v>631</v>
      </c>
      <c r="D17" s="327" t="s">
        <v>438</v>
      </c>
      <c r="E17" s="399" t="s">
        <v>381</v>
      </c>
      <c r="F17" s="191" t="s">
        <v>1159</v>
      </c>
      <c r="G17" s="409">
        <f>494/'Average wages'!B5</f>
        <v>1.0152471340864203E-2</v>
      </c>
      <c r="H17" s="399">
        <v>0</v>
      </c>
      <c r="I17" s="127" t="s">
        <v>398</v>
      </c>
      <c r="J17" s="535" t="s">
        <v>1160</v>
      </c>
      <c r="K17" s="120" t="s">
        <v>1161</v>
      </c>
      <c r="L17" s="330" t="s">
        <v>123</v>
      </c>
    </row>
    <row r="18" spans="1:12" ht="23" x14ac:dyDescent="0.25">
      <c r="A18" s="317"/>
      <c r="B18" s="193" t="s">
        <v>54</v>
      </c>
      <c r="C18" s="328" t="s">
        <v>1162</v>
      </c>
      <c r="D18" s="327" t="s">
        <v>394</v>
      </c>
      <c r="E18" s="399" t="s">
        <v>381</v>
      </c>
      <c r="F18" s="191" t="s">
        <v>845</v>
      </c>
      <c r="G18" s="409">
        <f>1500/'Average wages'!B5</f>
        <v>3.0827342128130174E-2</v>
      </c>
      <c r="H18" s="399" t="s">
        <v>398</v>
      </c>
      <c r="I18" s="127">
        <v>0</v>
      </c>
      <c r="J18" s="535" t="s">
        <v>1163</v>
      </c>
      <c r="K18" s="524" t="s">
        <v>1163</v>
      </c>
      <c r="L18" s="330" t="s">
        <v>1163</v>
      </c>
    </row>
    <row r="19" spans="1:12" ht="34.5" x14ac:dyDescent="0.25">
      <c r="A19" s="317"/>
      <c r="B19" s="329" t="s">
        <v>978</v>
      </c>
      <c r="C19" s="209" t="s">
        <v>383</v>
      </c>
      <c r="D19" s="209" t="s">
        <v>380</v>
      </c>
      <c r="E19" s="398" t="s">
        <v>384</v>
      </c>
      <c r="F19" s="215" t="s">
        <v>123</v>
      </c>
      <c r="G19" s="408">
        <f>(163.2+51)*12/'Average wages'!$B$6</f>
        <v>5.3863832326410156E-2</v>
      </c>
      <c r="H19" s="421">
        <v>0</v>
      </c>
      <c r="I19" s="194">
        <v>0</v>
      </c>
      <c r="J19" s="428" t="str">
        <f>"EUR 30,986 ("&amp;TEXT(30986/'Average wages'!$B$6,"0%")&amp;" of AW)" &amp;CHAR(10)&amp;"EUR 61,200 ("&amp;TEXT(61200/'Average wages'!$B$6,"0%")&amp;" of AW)"</f>
        <v>EUR 30,986 (65% of AW)
EUR 61,200 (128% of AW)</v>
      </c>
      <c r="K19" s="429" t="s">
        <v>980</v>
      </c>
      <c r="L19" s="112" t="s">
        <v>123</v>
      </c>
    </row>
    <row r="20" spans="1:12" ht="57.5" x14ac:dyDescent="0.25">
      <c r="A20" s="317"/>
      <c r="B20" s="79" t="s">
        <v>975</v>
      </c>
      <c r="C20" s="210" t="s">
        <v>383</v>
      </c>
      <c r="D20" s="210" t="s">
        <v>380</v>
      </c>
      <c r="E20" s="399" t="s">
        <v>384</v>
      </c>
      <c r="F20" s="216" t="s">
        <v>123</v>
      </c>
      <c r="G20" s="409">
        <f>(160+40)*12/'Average wages'!$B$6</f>
        <v>5.0293027382269061E-2</v>
      </c>
      <c r="H20" s="422" t="s">
        <v>377</v>
      </c>
      <c r="I20" s="121" t="s">
        <v>377</v>
      </c>
      <c r="J20" s="430" t="str">
        <f>"EUR 31,000 ("&amp;TEXT(31000/'Average wages'!$B$6,"0%")&amp;" of AW)" &amp;CHAR(10)&amp;"EUR 45,000 ("&amp;TEXT(45000/'Average wages'!$B$6,"0%")&amp;" of AW)"</f>
        <v>EUR 31,000 (65% of AW)
EUR 45,000 (94% of AW)</v>
      </c>
      <c r="K20" s="431" t="s">
        <v>981</v>
      </c>
      <c r="L20" s="330" t="s">
        <v>123</v>
      </c>
    </row>
    <row r="21" spans="1:12" ht="23" x14ac:dyDescent="0.25">
      <c r="A21" s="317"/>
      <c r="B21" s="79" t="s">
        <v>974</v>
      </c>
      <c r="C21" s="210" t="s">
        <v>383</v>
      </c>
      <c r="D21" s="210" t="s">
        <v>380</v>
      </c>
      <c r="E21" s="399" t="s">
        <v>384</v>
      </c>
      <c r="F21" s="216" t="s">
        <v>123</v>
      </c>
      <c r="G21" s="409">
        <f>((155+55+25)*12 + 30)/'Average wages'!$B$6</f>
        <v>5.9722970016444513E-2</v>
      </c>
      <c r="H21" s="422" t="s">
        <v>977</v>
      </c>
      <c r="I21" s="121">
        <v>0</v>
      </c>
      <c r="J21" s="430" t="str">
        <f>"EUR 30,000 ("&amp;TEXT(30000/'Average wages'!$B$6,"0%")&amp;" of AW)" &amp;CHAR(10)&amp;"EUR 50,000 ("&amp;TEXT(50000/'Average wages'!$B$6,"0%")&amp;" of AW)"</f>
        <v>EUR 30,000 (63% of AW)
EUR 50,000 (105% of AW)</v>
      </c>
      <c r="K21" s="431" t="s">
        <v>982</v>
      </c>
      <c r="L21" s="330" t="s">
        <v>123</v>
      </c>
    </row>
    <row r="22" spans="1:12" x14ac:dyDescent="0.25">
      <c r="A22" s="317"/>
      <c r="B22" s="79" t="s">
        <v>976</v>
      </c>
      <c r="C22" s="210" t="s">
        <v>383</v>
      </c>
      <c r="D22" s="210" t="s">
        <v>380</v>
      </c>
      <c r="E22" s="399" t="s">
        <v>384</v>
      </c>
      <c r="F22" s="216" t="s">
        <v>123</v>
      </c>
      <c r="G22" s="409">
        <f>((157*12)+52)/'Average wages'!$B$6</f>
        <v>4.0569708755030374E-2</v>
      </c>
      <c r="H22" s="399" t="s">
        <v>377</v>
      </c>
      <c r="I22" s="121" t="s">
        <v>979</v>
      </c>
      <c r="J22" s="535" t="s">
        <v>95</v>
      </c>
      <c r="K22" s="120" t="s">
        <v>95</v>
      </c>
      <c r="L22" s="330" t="s">
        <v>123</v>
      </c>
    </row>
    <row r="23" spans="1:12" x14ac:dyDescent="0.25">
      <c r="A23" s="317"/>
      <c r="B23" s="79" t="s">
        <v>975</v>
      </c>
      <c r="C23" s="210" t="s">
        <v>385</v>
      </c>
      <c r="D23" s="210" t="s">
        <v>380</v>
      </c>
      <c r="E23" s="399" t="s">
        <v>384</v>
      </c>
      <c r="F23" s="216" t="s">
        <v>416</v>
      </c>
      <c r="G23" s="409">
        <f>(10*12)/'Average wages'!B4</f>
        <v>1.3206986495856309E-3</v>
      </c>
      <c r="H23" s="399">
        <v>0</v>
      </c>
      <c r="I23" s="121">
        <v>0</v>
      </c>
      <c r="J23" s="535" t="s">
        <v>95</v>
      </c>
      <c r="K23" s="120" t="s">
        <v>95</v>
      </c>
      <c r="L23" s="330" t="s">
        <v>123</v>
      </c>
    </row>
    <row r="24" spans="1:12" ht="23" x14ac:dyDescent="0.25">
      <c r="A24" s="317"/>
      <c r="B24" s="79" t="s">
        <v>974</v>
      </c>
      <c r="C24" s="210" t="s">
        <v>385</v>
      </c>
      <c r="D24" s="210" t="s">
        <v>380</v>
      </c>
      <c r="E24" s="399" t="s">
        <v>384</v>
      </c>
      <c r="F24" s="216" t="s">
        <v>416</v>
      </c>
      <c r="G24" s="409">
        <f>((20+10)*12)/'Average wages'!B5</f>
        <v>7.3985621107512415E-3</v>
      </c>
      <c r="H24" s="399">
        <v>0</v>
      </c>
      <c r="I24" s="121">
        <v>0</v>
      </c>
      <c r="J24" s="430" t="str">
        <f>"EUR 30,000 ("&amp;TEXT(30000/'Average wages'!$B$6,"0%")&amp;" of AW)" &amp;CHAR(10)&amp;"EUR 50,000 ("&amp;TEXT(50000/'Average wages'!$B$6,"0%")&amp;" of AW)"</f>
        <v>EUR 30,000 (63% of AW)
EUR 50,000 (105% of AW)</v>
      </c>
      <c r="K24" s="431" t="s">
        <v>983</v>
      </c>
      <c r="L24" s="330" t="s">
        <v>123</v>
      </c>
    </row>
    <row r="25" spans="1:12" ht="34.5" x14ac:dyDescent="0.25">
      <c r="A25" s="124" t="s">
        <v>363</v>
      </c>
      <c r="B25" s="331" t="s">
        <v>240</v>
      </c>
      <c r="C25" s="211" t="s">
        <v>386</v>
      </c>
      <c r="D25" s="211" t="s">
        <v>380</v>
      </c>
      <c r="E25" s="400" t="s">
        <v>104</v>
      </c>
      <c r="F25" s="217" t="s">
        <v>973</v>
      </c>
      <c r="G25" s="305">
        <f>84.47*12/'Average wages'!$B$6</f>
        <v>2.124126011490134E-2</v>
      </c>
      <c r="H25" s="400">
        <v>0</v>
      </c>
      <c r="I25" s="322" t="s">
        <v>136</v>
      </c>
      <c r="J25" s="323" t="s">
        <v>95</v>
      </c>
      <c r="K25" s="524" t="s">
        <v>95</v>
      </c>
      <c r="L25" s="332" t="s">
        <v>123</v>
      </c>
    </row>
    <row r="26" spans="1:12" ht="46" x14ac:dyDescent="0.25">
      <c r="A26" s="317" t="s">
        <v>359</v>
      </c>
      <c r="B26" s="225" t="s">
        <v>310</v>
      </c>
      <c r="C26" s="210" t="s">
        <v>984</v>
      </c>
      <c r="D26" s="210" t="s">
        <v>380</v>
      </c>
      <c r="E26" s="399">
        <v>17</v>
      </c>
      <c r="F26" s="216" t="s">
        <v>123</v>
      </c>
      <c r="G26" s="409">
        <f>6639/'Average wages'!$B$7</f>
        <v>0.11588083011028361</v>
      </c>
      <c r="H26" s="399" t="s">
        <v>398</v>
      </c>
      <c r="I26" s="127">
        <v>0</v>
      </c>
      <c r="J26" s="320" t="str">
        <f>"CAD 31,120 ("&amp;TEXT(31120/'Average wages'!$B$7,"0%")&amp;" of AW) of adjusted family net income" &amp;CHAR(10)&amp; "CAD 67,426 ("&amp;TEXT(67426/'Average wages'!$B$7,"0%")&amp;" of AW) of adjusted family net income"</f>
        <v>CAD 31,120 (54% of AW) of adjusted family net income
CAD 67,426 (118% of AW) of adjusted family net income</v>
      </c>
      <c r="K26" s="120" t="s">
        <v>985</v>
      </c>
      <c r="L26" s="330" t="s">
        <v>104</v>
      </c>
    </row>
    <row r="27" spans="1:12" ht="34.5" x14ac:dyDescent="0.25">
      <c r="A27" s="317" t="s">
        <v>361</v>
      </c>
      <c r="B27" s="222" t="s">
        <v>310</v>
      </c>
      <c r="C27" s="210" t="s">
        <v>388</v>
      </c>
      <c r="D27" s="210" t="s">
        <v>387</v>
      </c>
      <c r="E27" s="399" t="s">
        <v>104</v>
      </c>
      <c r="F27" s="216" t="s">
        <v>123</v>
      </c>
      <c r="G27" s="409">
        <f>(1922-1059)/'Average wages'!B7</f>
        <v>1.5063286095070755E-2</v>
      </c>
      <c r="H27" s="399">
        <v>0</v>
      </c>
      <c r="I27" s="127" t="s">
        <v>398</v>
      </c>
      <c r="J27" s="320" t="str">
        <f>"CAD 16,593 ("&amp;TEXT(16593/'Average wages'!B7,"0%")&amp;" of AW)"</f>
        <v>CAD 16,593 (29% of AW)</v>
      </c>
      <c r="K27" s="120">
        <v>0.15</v>
      </c>
      <c r="L27" s="330" t="s">
        <v>104</v>
      </c>
    </row>
    <row r="28" spans="1:12" ht="23" x14ac:dyDescent="0.25">
      <c r="A28" s="317" t="s">
        <v>364</v>
      </c>
      <c r="B28" s="225" t="s">
        <v>1418</v>
      </c>
      <c r="C28" s="210" t="s">
        <v>986</v>
      </c>
      <c r="D28" s="210" t="s">
        <v>380</v>
      </c>
      <c r="E28" s="399">
        <v>17</v>
      </c>
      <c r="F28" s="216" t="s">
        <v>123</v>
      </c>
      <c r="G28" s="409">
        <f>1434/'Average wages'!$B$7</f>
        <v>2.5029840394358589E-2</v>
      </c>
      <c r="H28" s="399">
        <v>0</v>
      </c>
      <c r="I28" s="127">
        <v>0</v>
      </c>
      <c r="J28" s="320" t="str">
        <f>"CAD 21,887 ("&amp;TEXT(21887/'Average wages'!$B$7,"0%")&amp;" of AW) of adjusted family net income"</f>
        <v>CAD 21,887 (38% of AW) of adjusted family net income</v>
      </c>
      <c r="K28" s="120">
        <v>0.08</v>
      </c>
      <c r="L28" s="330" t="s">
        <v>104</v>
      </c>
    </row>
    <row r="29" spans="1:12" ht="34.5" x14ac:dyDescent="0.25">
      <c r="A29" s="317" t="s">
        <v>365</v>
      </c>
      <c r="B29" s="225" t="s">
        <v>1418</v>
      </c>
      <c r="C29" s="566" t="s">
        <v>389</v>
      </c>
      <c r="D29" s="210" t="s">
        <v>387</v>
      </c>
      <c r="E29" s="399">
        <v>17</v>
      </c>
      <c r="F29" s="216" t="s">
        <v>123</v>
      </c>
      <c r="G29" s="409">
        <f>301/'Average wages'!$B$7</f>
        <v>5.2538228442830792E-3</v>
      </c>
      <c r="H29" s="399">
        <v>0</v>
      </c>
      <c r="I29" s="127">
        <v>0</v>
      </c>
      <c r="J29" s="320" t="str">
        <f>"CAD 28,944 ("&amp;TEXT(28944/'Average wages'!B7,"0%")&amp;" of AW) of net family income"</f>
        <v>CAD 28,944 (51% of AW) of net family income</v>
      </c>
      <c r="K29" s="120">
        <v>0.04</v>
      </c>
      <c r="L29" s="330" t="s">
        <v>104</v>
      </c>
    </row>
    <row r="30" spans="1:12" ht="34.5" x14ac:dyDescent="0.25">
      <c r="A30" s="317" t="s">
        <v>366</v>
      </c>
      <c r="B30" s="222" t="s">
        <v>310</v>
      </c>
      <c r="C30" s="566" t="s">
        <v>390</v>
      </c>
      <c r="D30" s="210" t="s">
        <v>387</v>
      </c>
      <c r="E30" s="399">
        <v>18</v>
      </c>
      <c r="F30" s="216" t="s">
        <v>123</v>
      </c>
      <c r="G30" s="409">
        <f>153/'Average wages'!B7</f>
        <v>2.670547824502695E-3</v>
      </c>
      <c r="H30" s="399">
        <v>0</v>
      </c>
      <c r="I30" s="127">
        <v>0</v>
      </c>
      <c r="J30" s="320" t="str">
        <f>"CAD 37,789 ("&amp;TEXT(37789/'Average wages'!B7,"0%")&amp;" of AW) of net family income"</f>
        <v>CAD 37,789 (66% of AW) of net family income</v>
      </c>
      <c r="K30" s="120">
        <v>0.05</v>
      </c>
      <c r="L30" s="330" t="s">
        <v>104</v>
      </c>
    </row>
    <row r="31" spans="1:12" ht="46" x14ac:dyDescent="0.25">
      <c r="A31" s="124" t="s">
        <v>362</v>
      </c>
      <c r="B31" s="225" t="s">
        <v>1418</v>
      </c>
      <c r="C31" s="210" t="s">
        <v>391</v>
      </c>
      <c r="D31" s="210" t="s">
        <v>387</v>
      </c>
      <c r="E31" s="399">
        <v>17</v>
      </c>
      <c r="F31" s="216" t="s">
        <v>416</v>
      </c>
      <c r="G31" s="409">
        <f>(290-153)/'Average wages'!B7</f>
        <v>2.3912748493913017E-3</v>
      </c>
      <c r="H31" s="399">
        <v>0</v>
      </c>
      <c r="I31" s="121" t="s">
        <v>136</v>
      </c>
      <c r="J31" s="320" t="str">
        <f>"As above, withdrawal of Goods and Services Tax Credit begins at "&amp;J30</f>
        <v>As above, withdrawal of Goods and Services Tax Credit begins at CAD 37,789 (66% of AW) of net family income</v>
      </c>
      <c r="K31" s="120">
        <v>0.05</v>
      </c>
      <c r="L31" s="330" t="s">
        <v>104</v>
      </c>
    </row>
    <row r="32" spans="1:12" ht="34.5" x14ac:dyDescent="0.25">
      <c r="A32" s="124" t="s">
        <v>363</v>
      </c>
      <c r="B32" s="225" t="s">
        <v>1418</v>
      </c>
      <c r="C32" s="210" t="s">
        <v>392</v>
      </c>
      <c r="D32" s="210" t="s">
        <v>387</v>
      </c>
      <c r="E32" s="399">
        <v>17</v>
      </c>
      <c r="F32" s="216" t="s">
        <v>123</v>
      </c>
      <c r="G32" s="409">
        <f>1984.35/'Average wages'!B7</f>
        <v>3.4635958010143283E-2</v>
      </c>
      <c r="H32" s="399">
        <v>0</v>
      </c>
      <c r="I32" s="121" t="s">
        <v>136</v>
      </c>
      <c r="J32" s="320" t="s">
        <v>860</v>
      </c>
      <c r="K32" s="120">
        <v>0.15</v>
      </c>
      <c r="L32" s="330" t="s">
        <v>104</v>
      </c>
    </row>
    <row r="33" spans="1:16384" ht="23" x14ac:dyDescent="0.25">
      <c r="A33" s="124" t="s">
        <v>368</v>
      </c>
      <c r="B33" s="393" t="s">
        <v>1418</v>
      </c>
      <c r="C33" s="211" t="s">
        <v>393</v>
      </c>
      <c r="D33" s="211" t="s">
        <v>394</v>
      </c>
      <c r="E33" s="400">
        <v>17</v>
      </c>
      <c r="F33" s="217" t="s">
        <v>123</v>
      </c>
      <c r="G33" s="305">
        <f>462.38/'Average wages'!B6</f>
        <v>9.689370833755654E-3</v>
      </c>
      <c r="H33" s="400">
        <v>0</v>
      </c>
      <c r="I33" s="322" t="s">
        <v>136</v>
      </c>
      <c r="J33" s="323" t="str">
        <f>"CAD 898 ("&amp;TEXT(898/'Average wages'!B7,"0.0%")&amp;" of AW) of dependent's income"</f>
        <v>CAD 898 (1.6% of AW) of dependent's income</v>
      </c>
      <c r="K33" s="524">
        <v>5.0500000000000003E-2</v>
      </c>
      <c r="L33" s="332" t="s">
        <v>104</v>
      </c>
    </row>
    <row r="34" spans="1:16384" x14ac:dyDescent="0.25">
      <c r="A34" s="317" t="s">
        <v>359</v>
      </c>
      <c r="B34" s="221" t="s">
        <v>56</v>
      </c>
      <c r="C34" s="669" t="s">
        <v>1447</v>
      </c>
      <c r="D34" s="209"/>
      <c r="E34" s="398"/>
      <c r="F34" s="215"/>
      <c r="G34" s="408"/>
      <c r="H34" s="398"/>
      <c r="I34" s="119"/>
      <c r="J34" s="533"/>
      <c r="K34" s="122"/>
      <c r="L34" s="112"/>
    </row>
    <row r="35" spans="1:16384" x14ac:dyDescent="0.25">
      <c r="A35" s="317" t="s">
        <v>360</v>
      </c>
      <c r="B35" s="223" t="s">
        <v>56</v>
      </c>
      <c r="C35" s="670" t="s">
        <v>1447</v>
      </c>
      <c r="D35" s="211"/>
      <c r="E35" s="400"/>
      <c r="F35" s="217"/>
      <c r="G35" s="305"/>
      <c r="H35" s="400"/>
      <c r="I35" s="129"/>
      <c r="J35" s="523"/>
      <c r="K35" s="524"/>
      <c r="L35" s="332"/>
    </row>
    <row r="36" spans="1:16384" ht="23" x14ac:dyDescent="0.25">
      <c r="A36" s="124" t="s">
        <v>359</v>
      </c>
      <c r="B36" s="224" t="s">
        <v>57</v>
      </c>
      <c r="C36" s="209" t="s">
        <v>1094</v>
      </c>
      <c r="D36" s="209" t="s">
        <v>376</v>
      </c>
      <c r="E36" s="398" t="s">
        <v>397</v>
      </c>
      <c r="F36" s="215" t="s">
        <v>123</v>
      </c>
      <c r="G36" s="408">
        <f>910*12/'[1]Average wages'!B9</f>
        <v>2.6070560592972514E-2</v>
      </c>
      <c r="H36" s="398" t="s">
        <v>377</v>
      </c>
      <c r="I36" s="119">
        <v>0</v>
      </c>
      <c r="J36" s="318" t="s">
        <v>693</v>
      </c>
      <c r="K36" s="122" t="s">
        <v>862</v>
      </c>
      <c r="L36" s="112" t="s">
        <v>248</v>
      </c>
    </row>
    <row r="37" spans="1:16384" ht="69" x14ac:dyDescent="0.25">
      <c r="A37" s="124"/>
      <c r="B37" s="393" t="s">
        <v>57</v>
      </c>
      <c r="C37" s="211" t="s">
        <v>1095</v>
      </c>
      <c r="D37" s="211" t="s">
        <v>380</v>
      </c>
      <c r="E37" s="400">
        <v>4</v>
      </c>
      <c r="F37" s="217" t="s">
        <v>1096</v>
      </c>
      <c r="G37" s="305" t="str">
        <f>" ("&amp;TEXT(8333*12*100/'[1]Average wages'!B9,0)&amp;"% of AW)"</f>
        <v xml:space="preserve"> (24% of AW)</v>
      </c>
      <c r="H37" s="400">
        <v>0</v>
      </c>
      <c r="I37" s="322" t="s">
        <v>136</v>
      </c>
      <c r="J37" s="323" t="s">
        <v>95</v>
      </c>
      <c r="K37" s="524" t="s">
        <v>95</v>
      </c>
      <c r="L37" s="332" t="s">
        <v>95</v>
      </c>
    </row>
    <row r="38" spans="1:16384" x14ac:dyDescent="0.25">
      <c r="A38" s="124" t="s">
        <v>359</v>
      </c>
      <c r="B38" s="221" t="s">
        <v>58</v>
      </c>
      <c r="C38" s="209" t="s">
        <v>697</v>
      </c>
      <c r="D38" s="209" t="s">
        <v>380</v>
      </c>
      <c r="E38" s="398">
        <v>17</v>
      </c>
      <c r="F38" s="215" t="s">
        <v>123</v>
      </c>
      <c r="G38" s="408">
        <f>3639*4/'Average wages'!B10</f>
        <v>3.3301770413915757E-2</v>
      </c>
      <c r="H38" s="398" t="s">
        <v>398</v>
      </c>
      <c r="I38" s="119">
        <v>0</v>
      </c>
      <c r="J38" s="533" t="str">
        <f>"DKK 800,100 ("&amp;TEXT(100*800100/'Average wages'!B10,0)&amp;"% of AW)"</f>
        <v>DKK 800,100 (183% of AW)</v>
      </c>
      <c r="K38" s="122">
        <v>0.02</v>
      </c>
      <c r="L38" s="112" t="s">
        <v>95</v>
      </c>
    </row>
    <row r="39" spans="1:16384" ht="34.5" x14ac:dyDescent="0.25">
      <c r="A39" s="124" t="s">
        <v>362</v>
      </c>
      <c r="B39" s="222" t="s">
        <v>58</v>
      </c>
      <c r="C39" s="210" t="s">
        <v>988</v>
      </c>
      <c r="D39" s="210" t="s">
        <v>380</v>
      </c>
      <c r="E39" s="399">
        <v>17</v>
      </c>
      <c r="F39" s="216" t="s">
        <v>416</v>
      </c>
      <c r="G39" s="409">
        <f>(5880+5992)/'Average wages'!B10</f>
        <v>2.7161213132317112E-2</v>
      </c>
      <c r="H39" s="399">
        <v>0</v>
      </c>
      <c r="I39" s="333">
        <v>0</v>
      </c>
      <c r="J39" s="535" t="s">
        <v>95</v>
      </c>
      <c r="K39" s="120" t="s">
        <v>95</v>
      </c>
      <c r="L39" s="330" t="s">
        <v>95</v>
      </c>
    </row>
    <row r="40" spans="1:16384" ht="23" x14ac:dyDescent="0.25">
      <c r="A40" s="124"/>
      <c r="B40" s="223" t="s">
        <v>58</v>
      </c>
      <c r="C40" s="211" t="s">
        <v>987</v>
      </c>
      <c r="D40" s="211" t="s">
        <v>380</v>
      </c>
      <c r="E40" s="400">
        <v>17</v>
      </c>
      <c r="F40" s="217" t="s">
        <v>402</v>
      </c>
      <c r="G40" s="305">
        <f>(16980)/'Average wages'!B9</f>
        <v>4.2211378305838577E-2</v>
      </c>
      <c r="H40" s="400">
        <v>0</v>
      </c>
      <c r="I40" s="129">
        <v>0</v>
      </c>
      <c r="J40" s="523" t="s">
        <v>95</v>
      </c>
      <c r="K40" s="524" t="s">
        <v>95</v>
      </c>
      <c r="L40" s="332" t="s">
        <v>95</v>
      </c>
    </row>
    <row r="41" spans="1:16384" ht="34.5" x14ac:dyDescent="0.25">
      <c r="A41" s="124"/>
      <c r="B41" s="223" t="s">
        <v>58</v>
      </c>
      <c r="C41" s="211" t="s">
        <v>991</v>
      </c>
      <c r="D41" s="211" t="s">
        <v>993</v>
      </c>
      <c r="E41" s="400">
        <v>17</v>
      </c>
      <c r="F41" s="217" t="s">
        <v>123</v>
      </c>
      <c r="G41" s="305">
        <f>(120)/'Average wages'!B9</f>
        <v>2.9831362760309951E-4</v>
      </c>
      <c r="H41" s="400">
        <v>0</v>
      </c>
      <c r="I41" s="129" t="s">
        <v>992</v>
      </c>
      <c r="J41" s="523" t="str">
        <f>"DKK 414 700,100 ("&amp;TEXT(100*414700/'Average wages'!B10,0)&amp;"% of AW)"</f>
        <v>DKK 414 700,100 (95% of AW)</v>
      </c>
      <c r="K41" s="334">
        <v>7.4999999999999997E-2</v>
      </c>
      <c r="L41" s="332" t="s">
        <v>95</v>
      </c>
    </row>
    <row r="42" spans="1:16384" x14ac:dyDescent="0.25">
      <c r="A42" s="124" t="s">
        <v>363</v>
      </c>
      <c r="B42" s="223" t="s">
        <v>58</v>
      </c>
      <c r="C42" s="211" t="s">
        <v>989</v>
      </c>
      <c r="D42" s="211" t="s">
        <v>380</v>
      </c>
      <c r="E42" s="400">
        <v>17</v>
      </c>
      <c r="F42" s="217" t="s">
        <v>990</v>
      </c>
      <c r="G42" s="305">
        <f>(556*12)/'Average wages'!B10</f>
        <v>1.5264455358728082E-2</v>
      </c>
      <c r="H42" s="400">
        <v>0</v>
      </c>
      <c r="I42" s="129">
        <v>0</v>
      </c>
      <c r="J42" s="523" t="s">
        <v>95</v>
      </c>
      <c r="K42" s="524" t="s">
        <v>95</v>
      </c>
      <c r="L42" s="332" t="s">
        <v>95</v>
      </c>
    </row>
    <row r="43" spans="1:16384" s="251" customFormat="1" ht="23" x14ac:dyDescent="0.25">
      <c r="A43" s="124" t="s">
        <v>359</v>
      </c>
      <c r="B43" s="259" t="s">
        <v>59</v>
      </c>
      <c r="C43" s="69" t="s">
        <v>399</v>
      </c>
      <c r="D43" s="69" t="s">
        <v>380</v>
      </c>
      <c r="E43" s="398" t="s">
        <v>400</v>
      </c>
      <c r="F43" s="73" t="s">
        <v>123</v>
      </c>
      <c r="G43" s="408">
        <f>60*12/'Average wages'!B11</f>
        <v>4.3277734304096468E-2</v>
      </c>
      <c r="H43" s="398">
        <v>0</v>
      </c>
      <c r="I43" s="119" t="s">
        <v>1315</v>
      </c>
      <c r="J43" s="533" t="s">
        <v>95</v>
      </c>
      <c r="K43" s="122" t="s">
        <v>95</v>
      </c>
      <c r="L43" s="112" t="s">
        <v>95</v>
      </c>
    </row>
    <row r="44" spans="1:16384" s="22" customFormat="1" ht="34.5" x14ac:dyDescent="0.25">
      <c r="A44" s="124"/>
      <c r="B44" s="130" t="s">
        <v>59</v>
      </c>
      <c r="C44" s="326" t="s">
        <v>1316</v>
      </c>
      <c r="D44" s="326" t="s">
        <v>380</v>
      </c>
      <c r="E44" s="399" t="s">
        <v>400</v>
      </c>
      <c r="F44" s="191" t="s">
        <v>1317</v>
      </c>
      <c r="G44" s="409">
        <f>300*12/'Average wages'!B11</f>
        <v>0.21638867152048236</v>
      </c>
      <c r="H44" s="399">
        <v>0</v>
      </c>
      <c r="I44" s="127" t="s">
        <v>1318</v>
      </c>
      <c r="J44" s="535" t="s">
        <v>95</v>
      </c>
      <c r="K44" s="120" t="s">
        <v>95</v>
      </c>
      <c r="L44" s="330" t="s">
        <v>95</v>
      </c>
    </row>
    <row r="45" spans="1:16384" s="22" customFormat="1" ht="23.5" x14ac:dyDescent="0.25">
      <c r="A45" s="124" t="s">
        <v>362</v>
      </c>
      <c r="B45" s="130" t="s">
        <v>59</v>
      </c>
      <c r="C45" s="326" t="s">
        <v>401</v>
      </c>
      <c r="D45" s="326" t="s">
        <v>380</v>
      </c>
      <c r="E45" s="399" t="s">
        <v>400</v>
      </c>
      <c r="F45" s="191" t="s">
        <v>1319</v>
      </c>
      <c r="G45" s="409">
        <f>19.18*12/'Average wages'!B11</f>
        <v>1.3834449065876171E-2</v>
      </c>
      <c r="H45" s="399">
        <v>0</v>
      </c>
      <c r="I45" s="127">
        <v>0</v>
      </c>
      <c r="J45" s="535" t="s">
        <v>95</v>
      </c>
      <c r="K45" s="120" t="s">
        <v>95</v>
      </c>
      <c r="L45" s="330" t="s">
        <v>95</v>
      </c>
    </row>
    <row r="46" spans="1:16384" s="22" customFormat="1" x14ac:dyDescent="0.25">
      <c r="A46" s="124" t="s">
        <v>363</v>
      </c>
      <c r="B46" s="130" t="s">
        <v>59</v>
      </c>
      <c r="C46" s="326" t="s">
        <v>665</v>
      </c>
      <c r="D46" s="326" t="s">
        <v>380</v>
      </c>
      <c r="E46" s="399" t="s">
        <v>428</v>
      </c>
      <c r="F46" s="191" t="s">
        <v>402</v>
      </c>
      <c r="G46" s="409">
        <f>100*12/'Average wages'!B11</f>
        <v>7.2129557173494119E-2</v>
      </c>
      <c r="H46" s="399">
        <v>0</v>
      </c>
      <c r="I46" s="127">
        <v>0</v>
      </c>
      <c r="J46" s="535" t="s">
        <v>95</v>
      </c>
      <c r="K46" s="120" t="s">
        <v>95</v>
      </c>
      <c r="L46" s="330" t="s">
        <v>95</v>
      </c>
    </row>
    <row r="47" spans="1:16384" s="237" customFormat="1" ht="23" x14ac:dyDescent="0.25">
      <c r="A47" s="124"/>
      <c r="B47" s="130" t="s">
        <v>59</v>
      </c>
      <c r="C47" s="326" t="s">
        <v>1320</v>
      </c>
      <c r="D47" s="326" t="s">
        <v>376</v>
      </c>
      <c r="E47" s="399">
        <v>16</v>
      </c>
      <c r="F47" s="191" t="s">
        <v>1321</v>
      </c>
      <c r="G47" s="409">
        <f>1848/'Average wages'!B11</f>
        <v>0.11107951804718094</v>
      </c>
      <c r="H47" s="399">
        <v>0</v>
      </c>
      <c r="I47" s="127" t="s">
        <v>1315</v>
      </c>
      <c r="J47" s="535" t="s">
        <v>95</v>
      </c>
      <c r="K47" s="120" t="s">
        <v>95</v>
      </c>
      <c r="L47" s="330" t="s">
        <v>95</v>
      </c>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2"/>
      <c r="CK47" s="22"/>
      <c r="CL47" s="22"/>
      <c r="CM47" s="22"/>
      <c r="CN47" s="22"/>
      <c r="CO47" s="22"/>
      <c r="CP47" s="22"/>
      <c r="CQ47" s="22"/>
      <c r="CR47" s="22"/>
      <c r="CS47" s="22"/>
      <c r="CT47" s="22"/>
      <c r="CU47" s="22"/>
      <c r="CV47" s="22"/>
      <c r="CW47" s="22"/>
      <c r="CX47" s="22"/>
      <c r="CY47" s="22"/>
      <c r="CZ47" s="22"/>
      <c r="DA47" s="22"/>
      <c r="DB47" s="22"/>
      <c r="DC47" s="22"/>
      <c r="DD47" s="22"/>
      <c r="DE47" s="22"/>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2"/>
      <c r="EO47" s="22"/>
      <c r="EP47" s="22"/>
      <c r="EQ47" s="22"/>
      <c r="ER47" s="22"/>
      <c r="ES47" s="22"/>
      <c r="ET47" s="22"/>
      <c r="EU47" s="22"/>
      <c r="EV47" s="22"/>
      <c r="EW47" s="22"/>
      <c r="EX47" s="22"/>
      <c r="EY47" s="22"/>
      <c r="EZ47" s="22"/>
      <c r="FA47" s="22"/>
      <c r="FB47" s="22"/>
      <c r="FC47" s="22"/>
      <c r="FD47" s="22"/>
      <c r="FE47" s="22"/>
      <c r="FF47" s="22"/>
      <c r="FG47" s="22"/>
      <c r="FH47" s="22"/>
      <c r="FI47" s="22"/>
      <c r="FJ47" s="22"/>
      <c r="FK47" s="22"/>
      <c r="FL47" s="22"/>
      <c r="FM47" s="22"/>
      <c r="FN47" s="22"/>
      <c r="FO47" s="22"/>
      <c r="FP47" s="22"/>
      <c r="FQ47" s="22"/>
      <c r="FR47" s="22"/>
      <c r="FS47" s="22"/>
      <c r="FT47" s="22"/>
      <c r="FU47" s="22"/>
      <c r="FV47" s="22"/>
      <c r="FW47" s="22"/>
      <c r="FX47" s="22"/>
      <c r="FY47" s="22"/>
      <c r="FZ47" s="22"/>
      <c r="GA47" s="22"/>
      <c r="GB47" s="22"/>
      <c r="GC47" s="22"/>
      <c r="GD47" s="22"/>
      <c r="GE47" s="22"/>
      <c r="GF47" s="22"/>
      <c r="GG47" s="22"/>
      <c r="GH47" s="22"/>
      <c r="GI47" s="22"/>
      <c r="GJ47" s="22"/>
      <c r="GK47" s="22"/>
      <c r="GL47" s="22"/>
      <c r="GM47" s="22"/>
      <c r="GN47" s="22"/>
      <c r="GO47" s="22"/>
      <c r="GP47" s="22"/>
      <c r="GQ47" s="22"/>
      <c r="GR47" s="22"/>
      <c r="GS47" s="22"/>
      <c r="GT47" s="22"/>
      <c r="GU47" s="22"/>
      <c r="GV47" s="22"/>
      <c r="GW47" s="22"/>
      <c r="GX47" s="22"/>
      <c r="GY47" s="22"/>
      <c r="GZ47" s="22"/>
      <c r="HA47" s="22"/>
      <c r="HB47" s="22"/>
      <c r="HC47" s="22"/>
      <c r="HD47" s="22"/>
      <c r="HE47" s="22"/>
      <c r="HF47" s="22"/>
      <c r="HG47" s="22"/>
      <c r="HH47" s="22"/>
      <c r="HI47" s="22"/>
      <c r="HJ47" s="22"/>
      <c r="HK47" s="22"/>
      <c r="HL47" s="22"/>
      <c r="HM47" s="22"/>
      <c r="HN47" s="22"/>
      <c r="HO47" s="22"/>
      <c r="HP47" s="22"/>
      <c r="HQ47" s="22"/>
      <c r="HR47" s="22"/>
      <c r="HS47" s="22"/>
      <c r="HT47" s="22"/>
      <c r="HU47" s="22"/>
      <c r="HV47" s="22"/>
      <c r="HW47" s="22"/>
      <c r="HX47" s="22"/>
      <c r="HY47" s="22"/>
      <c r="HZ47" s="22"/>
      <c r="IA47" s="22"/>
      <c r="IB47" s="22"/>
      <c r="IC47" s="22"/>
      <c r="ID47" s="22"/>
      <c r="IE47" s="22"/>
      <c r="IF47" s="22"/>
      <c r="IG47" s="22"/>
      <c r="IH47" s="22"/>
      <c r="II47" s="22"/>
      <c r="IJ47" s="22"/>
      <c r="IK47" s="22"/>
      <c r="IL47" s="22"/>
      <c r="IM47" s="22"/>
      <c r="IN47" s="22"/>
      <c r="IO47" s="22"/>
      <c r="IP47" s="22"/>
      <c r="IQ47" s="22"/>
      <c r="IR47" s="22"/>
      <c r="IS47" s="22"/>
      <c r="IT47" s="22"/>
      <c r="IU47" s="22"/>
      <c r="IV47" s="22"/>
      <c r="IW47" s="22"/>
      <c r="IX47" s="22"/>
      <c r="IY47" s="22"/>
      <c r="IZ47" s="22"/>
      <c r="JA47" s="22"/>
      <c r="JB47" s="22"/>
      <c r="JC47" s="22"/>
      <c r="JD47" s="22"/>
      <c r="JE47" s="22"/>
      <c r="JF47" s="22"/>
      <c r="JG47" s="22"/>
      <c r="JH47" s="22"/>
      <c r="JI47" s="22"/>
      <c r="JJ47" s="22"/>
      <c r="JK47" s="22"/>
      <c r="JL47" s="22"/>
      <c r="JM47" s="22"/>
      <c r="JN47" s="22"/>
      <c r="JO47" s="22"/>
      <c r="JP47" s="22"/>
      <c r="JQ47" s="22"/>
      <c r="JR47" s="22"/>
      <c r="JS47" s="22"/>
      <c r="JT47" s="22"/>
      <c r="JU47" s="22"/>
      <c r="JV47" s="22"/>
      <c r="JW47" s="22"/>
      <c r="JX47" s="22"/>
      <c r="JY47" s="22"/>
      <c r="JZ47" s="22"/>
      <c r="KA47" s="22"/>
      <c r="KB47" s="22"/>
      <c r="KC47" s="22"/>
      <c r="KD47" s="22"/>
      <c r="KE47" s="22"/>
      <c r="KF47" s="22"/>
      <c r="KG47" s="22"/>
      <c r="KH47" s="22"/>
      <c r="KI47" s="22"/>
      <c r="KJ47" s="22"/>
      <c r="KK47" s="22"/>
      <c r="KL47" s="22"/>
      <c r="KM47" s="22"/>
      <c r="KN47" s="22"/>
      <c r="KO47" s="22"/>
      <c r="KP47" s="22"/>
      <c r="KQ47" s="22"/>
      <c r="KR47" s="22"/>
      <c r="KS47" s="22"/>
      <c r="KT47" s="22"/>
      <c r="KU47" s="22"/>
      <c r="KV47" s="22"/>
      <c r="KW47" s="22"/>
      <c r="KX47" s="22"/>
      <c r="KY47" s="22"/>
      <c r="KZ47" s="22"/>
      <c r="LA47" s="22"/>
      <c r="LB47" s="22"/>
      <c r="LC47" s="22"/>
      <c r="LD47" s="22"/>
      <c r="LE47" s="22"/>
      <c r="LF47" s="22"/>
      <c r="LG47" s="22"/>
      <c r="LH47" s="22"/>
      <c r="LI47" s="22"/>
      <c r="LJ47" s="22"/>
      <c r="LK47" s="22"/>
      <c r="LL47" s="22"/>
      <c r="LM47" s="22"/>
      <c r="LN47" s="22"/>
      <c r="LO47" s="22"/>
      <c r="LP47" s="22"/>
      <c r="LQ47" s="22"/>
      <c r="LR47" s="22"/>
      <c r="LS47" s="22"/>
      <c r="LT47" s="22"/>
      <c r="LU47" s="22"/>
      <c r="LV47" s="22"/>
      <c r="LW47" s="22"/>
      <c r="LX47" s="22"/>
      <c r="LY47" s="22"/>
      <c r="LZ47" s="22"/>
      <c r="MA47" s="22"/>
      <c r="MB47" s="22"/>
      <c r="MC47" s="22"/>
      <c r="MD47" s="22"/>
      <c r="ME47" s="22"/>
      <c r="MF47" s="22"/>
      <c r="MG47" s="22"/>
      <c r="MH47" s="22"/>
      <c r="MI47" s="22"/>
      <c r="MJ47" s="22"/>
      <c r="MK47" s="22"/>
      <c r="ML47" s="22"/>
      <c r="MM47" s="22"/>
      <c r="MN47" s="22"/>
      <c r="MO47" s="22"/>
      <c r="MP47" s="22"/>
      <c r="MQ47" s="22"/>
      <c r="MR47" s="22"/>
      <c r="MS47" s="22"/>
      <c r="MT47" s="22"/>
      <c r="MU47" s="22"/>
      <c r="MV47" s="22"/>
      <c r="MW47" s="22"/>
      <c r="MX47" s="22"/>
      <c r="MY47" s="22"/>
      <c r="MZ47" s="22"/>
      <c r="NA47" s="22"/>
      <c r="NB47" s="22"/>
      <c r="NC47" s="22"/>
      <c r="ND47" s="22"/>
      <c r="NE47" s="22"/>
      <c r="NF47" s="22"/>
      <c r="NG47" s="22"/>
      <c r="NH47" s="22"/>
      <c r="NI47" s="22"/>
      <c r="NJ47" s="22"/>
      <c r="NK47" s="22"/>
      <c r="NL47" s="22"/>
      <c r="NM47" s="22"/>
      <c r="NN47" s="22"/>
      <c r="NO47" s="22"/>
      <c r="NP47" s="22"/>
      <c r="NQ47" s="22"/>
      <c r="NR47" s="22"/>
      <c r="NS47" s="22"/>
      <c r="NT47" s="22"/>
      <c r="NU47" s="22"/>
      <c r="NV47" s="22"/>
      <c r="NW47" s="22"/>
      <c r="NX47" s="22"/>
      <c r="NY47" s="22"/>
      <c r="NZ47" s="22"/>
      <c r="OA47" s="22"/>
      <c r="OB47" s="22"/>
      <c r="OC47" s="22"/>
      <c r="OD47" s="22"/>
      <c r="OE47" s="22"/>
      <c r="OF47" s="22"/>
      <c r="OG47" s="22"/>
      <c r="OH47" s="22"/>
      <c r="OI47" s="22"/>
      <c r="OJ47" s="22"/>
      <c r="OK47" s="22"/>
      <c r="OL47" s="22"/>
      <c r="OM47" s="22"/>
      <c r="ON47" s="22"/>
      <c r="OO47" s="22"/>
      <c r="OP47" s="22"/>
      <c r="OQ47" s="22"/>
      <c r="OR47" s="22"/>
      <c r="OS47" s="22"/>
      <c r="OT47" s="22"/>
      <c r="OU47" s="22"/>
      <c r="OV47" s="22"/>
      <c r="OW47" s="22"/>
      <c r="OX47" s="22"/>
      <c r="OY47" s="22"/>
      <c r="OZ47" s="22"/>
      <c r="PA47" s="22"/>
      <c r="PB47" s="22"/>
      <c r="PC47" s="22"/>
      <c r="PD47" s="22"/>
      <c r="PE47" s="22"/>
      <c r="PF47" s="22"/>
      <c r="PG47" s="22"/>
      <c r="PH47" s="22"/>
      <c r="PI47" s="22"/>
      <c r="PJ47" s="22"/>
      <c r="PK47" s="22"/>
      <c r="PL47" s="22"/>
      <c r="PM47" s="22"/>
      <c r="PN47" s="22"/>
      <c r="PO47" s="22"/>
      <c r="PP47" s="22"/>
      <c r="PQ47" s="22"/>
      <c r="PR47" s="22"/>
      <c r="PS47" s="22"/>
      <c r="PT47" s="22"/>
      <c r="PU47" s="22"/>
      <c r="PV47" s="22"/>
      <c r="PW47" s="22"/>
      <c r="PX47" s="22"/>
      <c r="PY47" s="22"/>
      <c r="PZ47" s="22"/>
      <c r="QA47" s="22"/>
      <c r="QB47" s="22"/>
      <c r="QC47" s="22"/>
      <c r="QD47" s="22"/>
      <c r="QE47" s="22"/>
      <c r="QF47" s="22"/>
      <c r="QG47" s="22"/>
      <c r="QH47" s="22"/>
      <c r="QI47" s="22"/>
      <c r="QJ47" s="22"/>
      <c r="QK47" s="22"/>
      <c r="QL47" s="22"/>
      <c r="QM47" s="22"/>
      <c r="QN47" s="22"/>
      <c r="QO47" s="22"/>
      <c r="QP47" s="22"/>
      <c r="QQ47" s="22"/>
      <c r="QR47" s="22"/>
      <c r="QS47" s="22"/>
      <c r="QT47" s="22"/>
      <c r="QU47" s="22"/>
      <c r="QV47" s="22"/>
      <c r="QW47" s="22"/>
      <c r="QX47" s="22"/>
      <c r="QY47" s="22"/>
      <c r="QZ47" s="22"/>
      <c r="RA47" s="22"/>
      <c r="RB47" s="22"/>
      <c r="RC47" s="22"/>
      <c r="RD47" s="22"/>
      <c r="RE47" s="22"/>
      <c r="RF47" s="22"/>
      <c r="RG47" s="22"/>
      <c r="RH47" s="22"/>
      <c r="RI47" s="22"/>
      <c r="RJ47" s="22"/>
      <c r="RK47" s="22"/>
      <c r="RL47" s="22"/>
      <c r="RM47" s="22"/>
      <c r="RN47" s="22"/>
      <c r="RO47" s="22"/>
      <c r="RP47" s="22"/>
      <c r="RQ47" s="22"/>
      <c r="RR47" s="22"/>
      <c r="RS47" s="22"/>
      <c r="RT47" s="22"/>
      <c r="RU47" s="22"/>
      <c r="RV47" s="22"/>
      <c r="RW47" s="22"/>
      <c r="RX47" s="22"/>
      <c r="RY47" s="22"/>
      <c r="RZ47" s="22"/>
      <c r="SA47" s="22"/>
      <c r="SB47" s="22"/>
      <c r="SC47" s="22"/>
      <c r="SD47" s="22"/>
      <c r="SE47" s="22"/>
      <c r="SF47" s="22"/>
      <c r="SG47" s="22"/>
      <c r="SH47" s="22"/>
      <c r="SI47" s="22"/>
      <c r="SJ47" s="22"/>
      <c r="SK47" s="22"/>
      <c r="SL47" s="22"/>
      <c r="SM47" s="22"/>
      <c r="SN47" s="22"/>
      <c r="SO47" s="22"/>
      <c r="SP47" s="22"/>
      <c r="SQ47" s="22"/>
      <c r="SR47" s="22"/>
      <c r="SS47" s="22"/>
      <c r="ST47" s="22"/>
      <c r="SU47" s="22"/>
      <c r="SV47" s="22"/>
      <c r="SW47" s="22"/>
      <c r="SX47" s="22"/>
      <c r="SY47" s="22"/>
      <c r="SZ47" s="22"/>
      <c r="TA47" s="22"/>
      <c r="TB47" s="22"/>
      <c r="TC47" s="22"/>
      <c r="TD47" s="22"/>
      <c r="TE47" s="22"/>
      <c r="TF47" s="22"/>
      <c r="TG47" s="22"/>
      <c r="TH47" s="22"/>
      <c r="TI47" s="22"/>
      <c r="TJ47" s="22"/>
      <c r="TK47" s="22"/>
      <c r="TL47" s="22"/>
      <c r="TM47" s="22"/>
      <c r="TN47" s="22"/>
      <c r="TO47" s="22"/>
      <c r="TP47" s="22"/>
      <c r="TQ47" s="22"/>
      <c r="TR47" s="22"/>
      <c r="TS47" s="22"/>
      <c r="TT47" s="22"/>
      <c r="TU47" s="22"/>
      <c r="TV47" s="22"/>
      <c r="TW47" s="22"/>
      <c r="TX47" s="22"/>
      <c r="TY47" s="22"/>
      <c r="TZ47" s="22"/>
      <c r="UA47" s="22"/>
      <c r="UB47" s="22"/>
      <c r="UC47" s="22"/>
      <c r="UD47" s="22"/>
      <c r="UE47" s="22"/>
      <c r="UF47" s="22"/>
      <c r="UG47" s="22"/>
      <c r="UH47" s="22"/>
      <c r="UI47" s="22"/>
      <c r="UJ47" s="22"/>
      <c r="UK47" s="22"/>
      <c r="UL47" s="22"/>
      <c r="UM47" s="22"/>
      <c r="UN47" s="22"/>
      <c r="UO47" s="22"/>
      <c r="UP47" s="22"/>
      <c r="UQ47" s="22"/>
      <c r="UR47" s="22"/>
      <c r="US47" s="22"/>
      <c r="UT47" s="22"/>
      <c r="UU47" s="22"/>
      <c r="UV47" s="22"/>
      <c r="UW47" s="22"/>
      <c r="UX47" s="22"/>
      <c r="UY47" s="22"/>
      <c r="UZ47" s="22"/>
      <c r="VA47" s="22"/>
      <c r="VB47" s="22"/>
      <c r="VC47" s="22"/>
      <c r="VD47" s="22"/>
      <c r="VE47" s="22"/>
      <c r="VF47" s="22"/>
      <c r="VG47" s="22"/>
      <c r="VH47" s="22"/>
      <c r="VI47" s="22"/>
      <c r="VJ47" s="22"/>
      <c r="VK47" s="22"/>
      <c r="VL47" s="22"/>
      <c r="VM47" s="22"/>
      <c r="VN47" s="22"/>
      <c r="VO47" s="22"/>
      <c r="VP47" s="22"/>
      <c r="VQ47" s="22"/>
      <c r="VR47" s="22"/>
      <c r="VS47" s="22"/>
      <c r="VT47" s="22"/>
      <c r="VU47" s="22"/>
      <c r="VV47" s="22"/>
      <c r="VW47" s="22"/>
      <c r="VX47" s="22"/>
      <c r="VY47" s="22"/>
      <c r="VZ47" s="22"/>
      <c r="WA47" s="22"/>
      <c r="WB47" s="22"/>
      <c r="WC47" s="22"/>
      <c r="WD47" s="22"/>
      <c r="WE47" s="22"/>
      <c r="WF47" s="22"/>
      <c r="WG47" s="22"/>
      <c r="WH47" s="22"/>
      <c r="WI47" s="22"/>
      <c r="WJ47" s="22"/>
      <c r="WK47" s="22"/>
      <c r="WL47" s="22"/>
      <c r="WM47" s="22"/>
      <c r="WN47" s="22"/>
      <c r="WO47" s="22"/>
      <c r="WP47" s="22"/>
      <c r="WQ47" s="22"/>
      <c r="WR47" s="22"/>
      <c r="WS47" s="22"/>
      <c r="WT47" s="22"/>
      <c r="WU47" s="22"/>
      <c r="WV47" s="22"/>
      <c r="WW47" s="22"/>
      <c r="WX47" s="22"/>
      <c r="WY47" s="22"/>
      <c r="WZ47" s="22"/>
      <c r="XA47" s="22"/>
      <c r="XB47" s="22"/>
      <c r="XC47" s="22"/>
      <c r="XD47" s="22"/>
      <c r="XE47" s="22"/>
      <c r="XF47" s="22"/>
      <c r="XG47" s="22"/>
      <c r="XH47" s="22"/>
      <c r="XI47" s="22"/>
      <c r="XJ47" s="22"/>
      <c r="XK47" s="22"/>
      <c r="XL47" s="22"/>
      <c r="XM47" s="22"/>
      <c r="XN47" s="22"/>
      <c r="XO47" s="22"/>
      <c r="XP47" s="22"/>
      <c r="XQ47" s="22"/>
      <c r="XR47" s="22"/>
      <c r="XS47" s="22"/>
      <c r="XT47" s="22"/>
      <c r="XU47" s="22"/>
      <c r="XV47" s="22"/>
      <c r="XW47" s="22"/>
      <c r="XX47" s="22"/>
      <c r="XY47" s="22"/>
      <c r="XZ47" s="22"/>
      <c r="YA47" s="22"/>
      <c r="YB47" s="22"/>
      <c r="YC47" s="22"/>
      <c r="YD47" s="22"/>
      <c r="YE47" s="22"/>
      <c r="YF47" s="22"/>
      <c r="YG47" s="22"/>
      <c r="YH47" s="22"/>
      <c r="YI47" s="22"/>
      <c r="YJ47" s="22"/>
      <c r="YK47" s="22"/>
      <c r="YL47" s="22"/>
      <c r="YM47" s="22"/>
      <c r="YN47" s="22"/>
      <c r="YO47" s="22"/>
      <c r="YP47" s="22"/>
      <c r="YQ47" s="22"/>
      <c r="YR47" s="22"/>
      <c r="YS47" s="22"/>
      <c r="YT47" s="22"/>
      <c r="YU47" s="22"/>
      <c r="YV47" s="22"/>
      <c r="YW47" s="22"/>
      <c r="YX47" s="22"/>
      <c r="YY47" s="22"/>
      <c r="YZ47" s="22"/>
      <c r="ZA47" s="22"/>
      <c r="ZB47" s="22"/>
      <c r="ZC47" s="22"/>
      <c r="ZD47" s="22"/>
      <c r="ZE47" s="22"/>
      <c r="ZF47" s="22"/>
      <c r="ZG47" s="22"/>
      <c r="ZH47" s="22"/>
      <c r="ZI47" s="22"/>
      <c r="ZJ47" s="22"/>
      <c r="ZK47" s="22"/>
      <c r="ZL47" s="22"/>
      <c r="ZM47" s="22"/>
      <c r="ZN47" s="22"/>
      <c r="ZO47" s="22"/>
      <c r="ZP47" s="22"/>
      <c r="ZQ47" s="22"/>
      <c r="ZR47" s="22"/>
      <c r="ZS47" s="22"/>
      <c r="ZT47" s="22"/>
      <c r="ZU47" s="22"/>
      <c r="ZV47" s="22"/>
      <c r="ZW47" s="22"/>
      <c r="ZX47" s="22"/>
      <c r="ZY47" s="22"/>
      <c r="ZZ47" s="22"/>
      <c r="AAA47" s="22"/>
      <c r="AAB47" s="22"/>
      <c r="AAC47" s="22"/>
      <c r="AAD47" s="22"/>
      <c r="AAE47" s="22"/>
      <c r="AAF47" s="22"/>
      <c r="AAG47" s="22"/>
      <c r="AAH47" s="22"/>
      <c r="AAI47" s="22"/>
      <c r="AAJ47" s="22"/>
      <c r="AAK47" s="22"/>
      <c r="AAL47" s="22"/>
      <c r="AAM47" s="22"/>
      <c r="AAN47" s="22"/>
      <c r="AAO47" s="22"/>
      <c r="AAP47" s="22"/>
      <c r="AAQ47" s="22"/>
      <c r="AAR47" s="22"/>
      <c r="AAS47" s="22"/>
      <c r="AAT47" s="22"/>
      <c r="AAU47" s="22"/>
      <c r="AAV47" s="22"/>
      <c r="AAW47" s="22"/>
      <c r="AAX47" s="22"/>
      <c r="AAY47" s="22"/>
      <c r="AAZ47" s="22"/>
      <c r="ABA47" s="22"/>
      <c r="ABB47" s="22"/>
      <c r="ABC47" s="22"/>
      <c r="ABD47" s="22"/>
      <c r="ABE47" s="22"/>
      <c r="ABF47" s="22"/>
      <c r="ABG47" s="22"/>
      <c r="ABH47" s="22"/>
      <c r="ABI47" s="22"/>
      <c r="ABJ47" s="22"/>
      <c r="ABK47" s="22"/>
      <c r="ABL47" s="22"/>
      <c r="ABM47" s="22"/>
      <c r="ABN47" s="22"/>
      <c r="ABO47" s="22"/>
      <c r="ABP47" s="22"/>
      <c r="ABQ47" s="22"/>
      <c r="ABR47" s="22"/>
      <c r="ABS47" s="22"/>
      <c r="ABT47" s="22"/>
      <c r="ABU47" s="22"/>
      <c r="ABV47" s="22"/>
      <c r="ABW47" s="22"/>
      <c r="ABX47" s="22"/>
      <c r="ABY47" s="22"/>
      <c r="ABZ47" s="22"/>
      <c r="ACA47" s="22"/>
      <c r="ACB47" s="22"/>
      <c r="ACC47" s="22"/>
      <c r="ACD47" s="22"/>
      <c r="ACE47" s="22"/>
      <c r="ACF47" s="22"/>
      <c r="ACG47" s="22"/>
      <c r="ACH47" s="22"/>
      <c r="ACI47" s="22"/>
      <c r="ACJ47" s="22"/>
      <c r="ACK47" s="22"/>
      <c r="ACL47" s="22"/>
      <c r="ACM47" s="22"/>
      <c r="ACN47" s="22"/>
      <c r="ACO47" s="22"/>
      <c r="ACP47" s="22"/>
      <c r="ACQ47" s="22"/>
      <c r="ACR47" s="22"/>
      <c r="ACS47" s="22"/>
      <c r="ACT47" s="22"/>
      <c r="ACU47" s="22"/>
      <c r="ACV47" s="22"/>
      <c r="ACW47" s="22"/>
      <c r="ACX47" s="22"/>
      <c r="ACY47" s="22"/>
      <c r="ACZ47" s="22"/>
      <c r="ADA47" s="22"/>
      <c r="ADB47" s="22"/>
      <c r="ADC47" s="22"/>
      <c r="ADD47" s="22"/>
      <c r="ADE47" s="22"/>
      <c r="ADF47" s="22"/>
      <c r="ADG47" s="22"/>
      <c r="ADH47" s="22"/>
      <c r="ADI47" s="22"/>
      <c r="ADJ47" s="22"/>
      <c r="ADK47" s="22"/>
      <c r="ADL47" s="22"/>
      <c r="ADM47" s="22"/>
      <c r="ADN47" s="22"/>
      <c r="ADO47" s="22"/>
      <c r="ADP47" s="22"/>
      <c r="ADQ47" s="22"/>
      <c r="ADR47" s="22"/>
      <c r="ADS47" s="22"/>
      <c r="ADT47" s="22"/>
      <c r="ADU47" s="22"/>
      <c r="ADV47" s="22"/>
      <c r="ADW47" s="22"/>
      <c r="ADX47" s="22"/>
      <c r="ADY47" s="22"/>
      <c r="ADZ47" s="22"/>
      <c r="AEA47" s="22"/>
      <c r="AEB47" s="22"/>
      <c r="AEC47" s="22"/>
      <c r="AED47" s="22"/>
      <c r="AEE47" s="22"/>
      <c r="AEF47" s="22"/>
      <c r="AEG47" s="22"/>
      <c r="AEH47" s="22"/>
      <c r="AEI47" s="22"/>
      <c r="AEJ47" s="22"/>
      <c r="AEK47" s="22"/>
      <c r="AEL47" s="22"/>
      <c r="AEM47" s="22"/>
      <c r="AEN47" s="22"/>
      <c r="AEO47" s="22"/>
      <c r="AEP47" s="22"/>
      <c r="AEQ47" s="22"/>
      <c r="AER47" s="22"/>
      <c r="AES47" s="22"/>
      <c r="AET47" s="22"/>
      <c r="AEU47" s="22"/>
      <c r="AEV47" s="22"/>
      <c r="AEW47" s="22"/>
      <c r="AEX47" s="22"/>
      <c r="AEY47" s="22"/>
      <c r="AEZ47" s="22"/>
      <c r="AFA47" s="22"/>
      <c r="AFB47" s="22"/>
      <c r="AFC47" s="22"/>
      <c r="AFD47" s="22"/>
      <c r="AFE47" s="22"/>
      <c r="AFF47" s="22"/>
      <c r="AFG47" s="22"/>
      <c r="AFH47" s="22"/>
      <c r="AFI47" s="22"/>
      <c r="AFJ47" s="22"/>
      <c r="AFK47" s="22"/>
      <c r="AFL47" s="22"/>
      <c r="AFM47" s="22"/>
      <c r="AFN47" s="22"/>
      <c r="AFO47" s="22"/>
      <c r="AFP47" s="22"/>
      <c r="AFQ47" s="22"/>
      <c r="AFR47" s="22"/>
      <c r="AFS47" s="22"/>
      <c r="AFT47" s="22"/>
      <c r="AFU47" s="22"/>
      <c r="AFV47" s="22"/>
      <c r="AFW47" s="22"/>
      <c r="AFX47" s="22"/>
      <c r="AFY47" s="22"/>
      <c r="AFZ47" s="22"/>
      <c r="AGA47" s="22"/>
      <c r="AGB47" s="22"/>
      <c r="AGC47" s="22"/>
      <c r="AGD47" s="22"/>
      <c r="AGE47" s="22"/>
      <c r="AGF47" s="22"/>
      <c r="AGG47" s="22"/>
      <c r="AGH47" s="22"/>
      <c r="AGI47" s="22"/>
      <c r="AGJ47" s="22"/>
      <c r="AGK47" s="22"/>
      <c r="AGL47" s="22"/>
      <c r="AGM47" s="22"/>
      <c r="AGN47" s="22"/>
      <c r="AGO47" s="22"/>
      <c r="AGP47" s="22"/>
      <c r="AGQ47" s="22"/>
      <c r="AGR47" s="22"/>
      <c r="AGS47" s="22"/>
      <c r="AGT47" s="22"/>
      <c r="AGU47" s="22"/>
      <c r="AGV47" s="22"/>
      <c r="AGW47" s="22"/>
      <c r="AGX47" s="22"/>
      <c r="AGY47" s="22"/>
      <c r="AGZ47" s="22"/>
      <c r="AHA47" s="22"/>
      <c r="AHB47" s="22"/>
      <c r="AHC47" s="22"/>
      <c r="AHD47" s="22"/>
      <c r="AHE47" s="22"/>
      <c r="AHF47" s="22"/>
      <c r="AHG47" s="22"/>
      <c r="AHH47" s="22"/>
      <c r="AHI47" s="22"/>
      <c r="AHJ47" s="22"/>
      <c r="AHK47" s="22"/>
      <c r="AHL47" s="22"/>
      <c r="AHM47" s="22"/>
      <c r="AHN47" s="22"/>
      <c r="AHO47" s="22"/>
      <c r="AHP47" s="22"/>
      <c r="AHQ47" s="22"/>
      <c r="AHR47" s="22"/>
      <c r="AHS47" s="22"/>
      <c r="AHT47" s="22"/>
      <c r="AHU47" s="22"/>
      <c r="AHV47" s="22"/>
      <c r="AHW47" s="22"/>
      <c r="AHX47" s="22"/>
      <c r="AHY47" s="22"/>
      <c r="AHZ47" s="22"/>
      <c r="AIA47" s="22"/>
      <c r="AIB47" s="22"/>
      <c r="AIC47" s="22"/>
      <c r="AID47" s="22"/>
      <c r="AIE47" s="22"/>
      <c r="AIF47" s="22"/>
      <c r="AIG47" s="22"/>
      <c r="AIH47" s="22"/>
      <c r="AII47" s="22"/>
      <c r="AIJ47" s="22"/>
      <c r="AIK47" s="22"/>
      <c r="AIL47" s="22"/>
      <c r="AIM47" s="22"/>
      <c r="AIN47" s="22"/>
      <c r="AIO47" s="22"/>
      <c r="AIP47" s="22"/>
      <c r="AIQ47" s="22"/>
      <c r="AIR47" s="22"/>
      <c r="AIS47" s="22"/>
      <c r="AIT47" s="22"/>
      <c r="AIU47" s="22"/>
      <c r="AIV47" s="22"/>
      <c r="AIW47" s="22"/>
      <c r="AIX47" s="22"/>
      <c r="AIY47" s="22"/>
      <c r="AIZ47" s="22"/>
      <c r="AJA47" s="22"/>
      <c r="AJB47" s="22"/>
      <c r="AJC47" s="22"/>
      <c r="AJD47" s="22"/>
      <c r="AJE47" s="22"/>
      <c r="AJF47" s="22"/>
      <c r="AJG47" s="22"/>
      <c r="AJH47" s="22"/>
      <c r="AJI47" s="22"/>
      <c r="AJJ47" s="22"/>
      <c r="AJK47" s="22"/>
      <c r="AJL47" s="22"/>
      <c r="AJM47" s="22"/>
      <c r="AJN47" s="22"/>
      <c r="AJO47" s="22"/>
      <c r="AJP47" s="22"/>
      <c r="AJQ47" s="22"/>
      <c r="AJR47" s="22"/>
      <c r="AJS47" s="22"/>
      <c r="AJT47" s="22"/>
      <c r="AJU47" s="22"/>
      <c r="AJV47" s="22"/>
      <c r="AJW47" s="22"/>
      <c r="AJX47" s="22"/>
      <c r="AJY47" s="22"/>
      <c r="AJZ47" s="22"/>
      <c r="AKA47" s="22"/>
      <c r="AKB47" s="22"/>
      <c r="AKC47" s="22"/>
      <c r="AKD47" s="22"/>
      <c r="AKE47" s="22"/>
      <c r="AKF47" s="22"/>
      <c r="AKG47" s="22"/>
      <c r="AKH47" s="22"/>
      <c r="AKI47" s="22"/>
      <c r="AKJ47" s="22"/>
      <c r="AKK47" s="22"/>
      <c r="AKL47" s="22"/>
      <c r="AKM47" s="22"/>
      <c r="AKN47" s="22"/>
      <c r="AKO47" s="22"/>
      <c r="AKP47" s="22"/>
      <c r="AKQ47" s="22"/>
      <c r="AKR47" s="22"/>
      <c r="AKS47" s="22"/>
      <c r="AKT47" s="22"/>
      <c r="AKU47" s="22"/>
      <c r="AKV47" s="22"/>
      <c r="AKW47" s="22"/>
      <c r="AKX47" s="22"/>
      <c r="AKY47" s="22"/>
      <c r="AKZ47" s="22"/>
      <c r="ALA47" s="22"/>
      <c r="ALB47" s="22"/>
      <c r="ALC47" s="22"/>
      <c r="ALD47" s="22"/>
      <c r="ALE47" s="22"/>
      <c r="ALF47" s="22"/>
      <c r="ALG47" s="22"/>
      <c r="ALH47" s="22"/>
      <c r="ALI47" s="22"/>
      <c r="ALJ47" s="22"/>
      <c r="ALK47" s="22"/>
      <c r="ALL47" s="22"/>
      <c r="ALM47" s="22"/>
      <c r="ALN47" s="22"/>
      <c r="ALO47" s="22"/>
      <c r="ALP47" s="22"/>
      <c r="ALQ47" s="22"/>
      <c r="ALR47" s="22"/>
      <c r="ALS47" s="22"/>
      <c r="ALT47" s="22"/>
      <c r="ALU47" s="22"/>
      <c r="ALV47" s="22"/>
      <c r="ALW47" s="22"/>
      <c r="ALX47" s="22"/>
      <c r="ALY47" s="22"/>
      <c r="ALZ47" s="22"/>
      <c r="AMA47" s="22"/>
      <c r="AMB47" s="22"/>
      <c r="AMC47" s="22"/>
      <c r="AMD47" s="22"/>
      <c r="AME47" s="22"/>
      <c r="AMF47" s="22"/>
      <c r="AMG47" s="22"/>
      <c r="AMH47" s="22"/>
      <c r="AMI47" s="22"/>
      <c r="AMJ47" s="22"/>
      <c r="AMK47" s="22"/>
      <c r="AML47" s="22"/>
      <c r="AMM47" s="22"/>
      <c r="AMN47" s="22"/>
      <c r="AMO47" s="22"/>
      <c r="AMP47" s="22"/>
      <c r="AMQ47" s="22"/>
      <c r="AMR47" s="22"/>
      <c r="AMS47" s="22"/>
      <c r="AMT47" s="22"/>
      <c r="AMU47" s="22"/>
      <c r="AMV47" s="22"/>
      <c r="AMW47" s="22"/>
      <c r="AMX47" s="22"/>
      <c r="AMY47" s="22"/>
      <c r="AMZ47" s="22"/>
      <c r="ANA47" s="22"/>
      <c r="ANB47" s="22"/>
      <c r="ANC47" s="22"/>
      <c r="AND47" s="22"/>
      <c r="ANE47" s="22"/>
      <c r="ANF47" s="22"/>
      <c r="ANG47" s="22"/>
      <c r="ANH47" s="22"/>
      <c r="ANI47" s="22"/>
      <c r="ANJ47" s="22"/>
      <c r="ANK47" s="22"/>
      <c r="ANL47" s="22"/>
      <c r="ANM47" s="22"/>
      <c r="ANN47" s="22"/>
      <c r="ANO47" s="22"/>
      <c r="ANP47" s="22"/>
      <c r="ANQ47" s="22"/>
      <c r="ANR47" s="22"/>
      <c r="ANS47" s="22"/>
      <c r="ANT47" s="22"/>
      <c r="ANU47" s="22"/>
      <c r="ANV47" s="22"/>
      <c r="ANW47" s="22"/>
      <c r="ANX47" s="22"/>
      <c r="ANY47" s="22"/>
      <c r="ANZ47" s="22"/>
      <c r="AOA47" s="22"/>
      <c r="AOB47" s="22"/>
      <c r="AOC47" s="22"/>
      <c r="AOD47" s="22"/>
      <c r="AOE47" s="22"/>
      <c r="AOF47" s="22"/>
      <c r="AOG47" s="22"/>
      <c r="AOH47" s="22"/>
      <c r="AOI47" s="22"/>
      <c r="AOJ47" s="22"/>
      <c r="AOK47" s="22"/>
      <c r="AOL47" s="22"/>
      <c r="AOM47" s="22"/>
      <c r="AON47" s="22"/>
      <c r="AOO47" s="22"/>
      <c r="AOP47" s="22"/>
      <c r="AOQ47" s="22"/>
      <c r="AOR47" s="22"/>
      <c r="AOS47" s="22"/>
      <c r="AOT47" s="22"/>
      <c r="AOU47" s="22"/>
      <c r="AOV47" s="22"/>
      <c r="AOW47" s="22"/>
      <c r="AOX47" s="22"/>
      <c r="AOY47" s="22"/>
      <c r="AOZ47" s="22"/>
      <c r="APA47" s="22"/>
      <c r="APB47" s="22"/>
      <c r="APC47" s="22"/>
      <c r="APD47" s="22"/>
      <c r="APE47" s="22"/>
      <c r="APF47" s="22"/>
      <c r="APG47" s="22"/>
      <c r="APH47" s="22"/>
      <c r="API47" s="22"/>
      <c r="APJ47" s="22"/>
      <c r="APK47" s="22"/>
      <c r="APL47" s="22"/>
      <c r="APM47" s="22"/>
      <c r="APN47" s="22"/>
      <c r="APO47" s="22"/>
      <c r="APP47" s="22"/>
      <c r="APQ47" s="22"/>
      <c r="APR47" s="22"/>
      <c r="APS47" s="22"/>
      <c r="APT47" s="22"/>
      <c r="APU47" s="22"/>
      <c r="APV47" s="22"/>
      <c r="APW47" s="22"/>
      <c r="APX47" s="22"/>
      <c r="APY47" s="22"/>
      <c r="APZ47" s="22"/>
      <c r="AQA47" s="22"/>
      <c r="AQB47" s="22"/>
      <c r="AQC47" s="22"/>
      <c r="AQD47" s="22"/>
      <c r="AQE47" s="22"/>
      <c r="AQF47" s="22"/>
      <c r="AQG47" s="22"/>
      <c r="AQH47" s="22"/>
      <c r="AQI47" s="22"/>
      <c r="AQJ47" s="22"/>
      <c r="AQK47" s="22"/>
      <c r="AQL47" s="22"/>
      <c r="AQM47" s="22"/>
      <c r="AQN47" s="22"/>
      <c r="AQO47" s="22"/>
      <c r="AQP47" s="22"/>
      <c r="AQQ47" s="22"/>
      <c r="AQR47" s="22"/>
      <c r="AQS47" s="22"/>
      <c r="AQT47" s="22"/>
      <c r="AQU47" s="22"/>
      <c r="AQV47" s="22"/>
      <c r="AQW47" s="22"/>
      <c r="AQX47" s="22"/>
      <c r="AQY47" s="22"/>
      <c r="AQZ47" s="22"/>
      <c r="ARA47" s="22"/>
      <c r="ARB47" s="22"/>
      <c r="ARC47" s="22"/>
      <c r="ARD47" s="22"/>
      <c r="ARE47" s="22"/>
      <c r="ARF47" s="22"/>
      <c r="ARG47" s="22"/>
      <c r="ARH47" s="22"/>
      <c r="ARI47" s="22"/>
      <c r="ARJ47" s="22"/>
      <c r="ARK47" s="22"/>
      <c r="ARL47" s="22"/>
      <c r="ARM47" s="22"/>
      <c r="ARN47" s="22"/>
      <c r="ARO47" s="22"/>
      <c r="ARP47" s="22"/>
      <c r="ARQ47" s="22"/>
      <c r="ARR47" s="22"/>
      <c r="ARS47" s="22"/>
      <c r="ART47" s="22"/>
      <c r="ARU47" s="22"/>
      <c r="ARV47" s="22"/>
      <c r="ARW47" s="22"/>
      <c r="ARX47" s="22"/>
      <c r="ARY47" s="22"/>
      <c r="ARZ47" s="22"/>
      <c r="ASA47" s="22"/>
      <c r="ASB47" s="22"/>
      <c r="ASC47" s="22"/>
      <c r="ASD47" s="22"/>
      <c r="ASE47" s="22"/>
      <c r="ASF47" s="22"/>
      <c r="ASG47" s="22"/>
      <c r="ASH47" s="22"/>
      <c r="ASI47" s="22"/>
      <c r="ASJ47" s="22"/>
      <c r="ASK47" s="22"/>
      <c r="ASL47" s="22"/>
      <c r="ASM47" s="22"/>
      <c r="ASN47" s="22"/>
      <c r="ASO47" s="22"/>
      <c r="ASP47" s="22"/>
      <c r="ASQ47" s="22"/>
      <c r="ASR47" s="22"/>
      <c r="ASS47" s="22"/>
      <c r="AST47" s="22"/>
      <c r="ASU47" s="22"/>
      <c r="ASV47" s="22"/>
      <c r="ASW47" s="22"/>
      <c r="ASX47" s="22"/>
      <c r="ASY47" s="22"/>
      <c r="ASZ47" s="22"/>
      <c r="ATA47" s="22"/>
      <c r="ATB47" s="22"/>
      <c r="ATC47" s="22"/>
      <c r="ATD47" s="22"/>
      <c r="ATE47" s="22"/>
      <c r="ATF47" s="22"/>
      <c r="ATG47" s="22"/>
      <c r="ATH47" s="22"/>
      <c r="ATI47" s="22"/>
      <c r="ATJ47" s="22"/>
      <c r="ATK47" s="22"/>
      <c r="ATL47" s="22"/>
      <c r="ATM47" s="22"/>
      <c r="ATN47" s="22"/>
      <c r="ATO47" s="22"/>
      <c r="ATP47" s="22"/>
      <c r="ATQ47" s="22"/>
      <c r="ATR47" s="22"/>
      <c r="ATS47" s="22"/>
      <c r="ATT47" s="22"/>
      <c r="ATU47" s="22"/>
      <c r="ATV47" s="22"/>
      <c r="ATW47" s="22"/>
      <c r="ATX47" s="22"/>
      <c r="ATY47" s="22"/>
      <c r="ATZ47" s="22"/>
      <c r="AUA47" s="22"/>
      <c r="AUB47" s="22"/>
      <c r="AUC47" s="22"/>
      <c r="AUD47" s="22"/>
      <c r="AUE47" s="22"/>
      <c r="AUF47" s="22"/>
      <c r="AUG47" s="22"/>
      <c r="AUH47" s="22"/>
      <c r="AUI47" s="22"/>
      <c r="AUJ47" s="22"/>
      <c r="AUK47" s="22"/>
      <c r="AUL47" s="22"/>
      <c r="AUM47" s="22"/>
      <c r="AUN47" s="22"/>
      <c r="AUO47" s="22"/>
      <c r="AUP47" s="22"/>
      <c r="AUQ47" s="22"/>
      <c r="AUR47" s="22"/>
      <c r="AUS47" s="22"/>
      <c r="AUT47" s="22"/>
      <c r="AUU47" s="22"/>
      <c r="AUV47" s="22"/>
      <c r="AUW47" s="22"/>
      <c r="AUX47" s="22"/>
      <c r="AUY47" s="22"/>
      <c r="AUZ47" s="22"/>
      <c r="AVA47" s="22"/>
      <c r="AVB47" s="22"/>
      <c r="AVC47" s="22"/>
      <c r="AVD47" s="22"/>
      <c r="AVE47" s="22"/>
      <c r="AVF47" s="22"/>
      <c r="AVG47" s="22"/>
      <c r="AVH47" s="22"/>
      <c r="AVI47" s="22"/>
      <c r="AVJ47" s="22"/>
      <c r="AVK47" s="22"/>
      <c r="AVL47" s="22"/>
      <c r="AVM47" s="22"/>
      <c r="AVN47" s="22"/>
      <c r="AVO47" s="22"/>
      <c r="AVP47" s="22"/>
      <c r="AVQ47" s="22"/>
      <c r="AVR47" s="22"/>
      <c r="AVS47" s="22"/>
      <c r="AVT47" s="22"/>
      <c r="AVU47" s="22"/>
      <c r="AVV47" s="22"/>
      <c r="AVW47" s="22"/>
      <c r="AVX47" s="22"/>
      <c r="AVY47" s="22"/>
      <c r="AVZ47" s="22"/>
      <c r="AWA47" s="22"/>
      <c r="AWB47" s="22"/>
      <c r="AWC47" s="22"/>
      <c r="AWD47" s="22"/>
      <c r="AWE47" s="22"/>
      <c r="AWF47" s="22"/>
      <c r="AWG47" s="22"/>
      <c r="AWH47" s="22"/>
      <c r="AWI47" s="22"/>
      <c r="AWJ47" s="22"/>
      <c r="AWK47" s="22"/>
      <c r="AWL47" s="22"/>
      <c r="AWM47" s="22"/>
      <c r="AWN47" s="22"/>
      <c r="AWO47" s="22"/>
      <c r="AWP47" s="22"/>
      <c r="AWQ47" s="22"/>
      <c r="AWR47" s="22"/>
      <c r="AWS47" s="22"/>
      <c r="AWT47" s="22"/>
      <c r="AWU47" s="22"/>
      <c r="AWV47" s="22"/>
      <c r="AWW47" s="22"/>
      <c r="AWX47" s="22"/>
      <c r="AWY47" s="22"/>
      <c r="AWZ47" s="22"/>
      <c r="AXA47" s="22"/>
      <c r="AXB47" s="22"/>
      <c r="AXC47" s="22"/>
      <c r="AXD47" s="22"/>
      <c r="AXE47" s="22"/>
      <c r="AXF47" s="22"/>
      <c r="AXG47" s="22"/>
      <c r="AXH47" s="22"/>
      <c r="AXI47" s="22"/>
      <c r="AXJ47" s="22"/>
      <c r="AXK47" s="22"/>
      <c r="AXL47" s="22"/>
      <c r="AXM47" s="22"/>
      <c r="AXN47" s="22"/>
      <c r="AXO47" s="22"/>
      <c r="AXP47" s="22"/>
      <c r="AXQ47" s="22"/>
      <c r="AXR47" s="22"/>
      <c r="AXS47" s="22"/>
      <c r="AXT47" s="22"/>
      <c r="AXU47" s="22"/>
      <c r="AXV47" s="22"/>
      <c r="AXW47" s="22"/>
      <c r="AXX47" s="22"/>
      <c r="AXY47" s="22"/>
      <c r="AXZ47" s="22"/>
      <c r="AYA47" s="22"/>
      <c r="AYB47" s="22"/>
      <c r="AYC47" s="22"/>
      <c r="AYD47" s="22"/>
      <c r="AYE47" s="22"/>
      <c r="AYF47" s="22"/>
      <c r="AYG47" s="22"/>
      <c r="AYH47" s="22"/>
      <c r="AYI47" s="22"/>
      <c r="AYJ47" s="22"/>
      <c r="AYK47" s="22"/>
      <c r="AYL47" s="22"/>
      <c r="AYM47" s="22"/>
      <c r="AYN47" s="22"/>
      <c r="AYO47" s="22"/>
      <c r="AYP47" s="22"/>
      <c r="AYQ47" s="22"/>
      <c r="AYR47" s="22"/>
      <c r="AYS47" s="22"/>
      <c r="AYT47" s="22"/>
      <c r="AYU47" s="22"/>
      <c r="AYV47" s="22"/>
      <c r="AYW47" s="22"/>
      <c r="AYX47" s="22"/>
      <c r="AYY47" s="22"/>
      <c r="AYZ47" s="22"/>
      <c r="AZA47" s="22"/>
      <c r="AZB47" s="22"/>
      <c r="AZC47" s="22"/>
      <c r="AZD47" s="22"/>
      <c r="AZE47" s="22"/>
      <c r="AZF47" s="22"/>
      <c r="AZG47" s="22"/>
      <c r="AZH47" s="22"/>
      <c r="AZI47" s="22"/>
      <c r="AZJ47" s="22"/>
      <c r="AZK47" s="22"/>
      <c r="AZL47" s="22"/>
      <c r="AZM47" s="22"/>
      <c r="AZN47" s="22"/>
      <c r="AZO47" s="22"/>
      <c r="AZP47" s="22"/>
      <c r="AZQ47" s="22"/>
      <c r="AZR47" s="22"/>
      <c r="AZS47" s="22"/>
      <c r="AZT47" s="22"/>
      <c r="AZU47" s="22"/>
      <c r="AZV47" s="22"/>
      <c r="AZW47" s="22"/>
      <c r="AZX47" s="22"/>
      <c r="AZY47" s="22"/>
      <c r="AZZ47" s="22"/>
      <c r="BAA47" s="22"/>
      <c r="BAB47" s="22"/>
      <c r="BAC47" s="22"/>
      <c r="BAD47" s="22"/>
      <c r="BAE47" s="22"/>
      <c r="BAF47" s="22"/>
      <c r="BAG47" s="22"/>
      <c r="BAH47" s="22"/>
      <c r="BAI47" s="22"/>
      <c r="BAJ47" s="22"/>
      <c r="BAK47" s="22"/>
      <c r="BAL47" s="22"/>
      <c r="BAM47" s="22"/>
      <c r="BAN47" s="22"/>
      <c r="BAO47" s="22"/>
      <c r="BAP47" s="22"/>
      <c r="BAQ47" s="22"/>
      <c r="BAR47" s="22"/>
      <c r="BAS47" s="22"/>
      <c r="BAT47" s="22"/>
      <c r="BAU47" s="22"/>
      <c r="BAV47" s="22"/>
      <c r="BAW47" s="22"/>
      <c r="BAX47" s="22"/>
      <c r="BAY47" s="22"/>
      <c r="BAZ47" s="22"/>
      <c r="BBA47" s="22"/>
      <c r="BBB47" s="22"/>
      <c r="BBC47" s="22"/>
      <c r="BBD47" s="22"/>
      <c r="BBE47" s="22"/>
      <c r="BBF47" s="22"/>
      <c r="BBG47" s="22"/>
      <c r="BBH47" s="22"/>
      <c r="BBI47" s="22"/>
      <c r="BBJ47" s="22"/>
      <c r="BBK47" s="22"/>
      <c r="BBL47" s="22"/>
      <c r="BBM47" s="22"/>
      <c r="BBN47" s="22"/>
      <c r="BBO47" s="22"/>
      <c r="BBP47" s="22"/>
      <c r="BBQ47" s="22"/>
      <c r="BBR47" s="22"/>
      <c r="BBS47" s="22"/>
      <c r="BBT47" s="22"/>
      <c r="BBU47" s="22"/>
      <c r="BBV47" s="22"/>
      <c r="BBW47" s="22"/>
      <c r="BBX47" s="22"/>
      <c r="BBY47" s="22"/>
      <c r="BBZ47" s="22"/>
      <c r="BCA47" s="22"/>
      <c r="BCB47" s="22"/>
      <c r="BCC47" s="22"/>
      <c r="BCD47" s="22"/>
      <c r="BCE47" s="22"/>
      <c r="BCF47" s="22"/>
      <c r="BCG47" s="22"/>
      <c r="BCH47" s="22"/>
      <c r="BCI47" s="22"/>
      <c r="BCJ47" s="22"/>
      <c r="BCK47" s="22"/>
      <c r="BCL47" s="22"/>
      <c r="BCM47" s="22"/>
      <c r="BCN47" s="22"/>
      <c r="BCO47" s="22"/>
      <c r="BCP47" s="22"/>
      <c r="BCQ47" s="22"/>
      <c r="BCR47" s="22"/>
      <c r="BCS47" s="22"/>
      <c r="BCT47" s="22"/>
      <c r="BCU47" s="22"/>
      <c r="BCV47" s="22"/>
      <c r="BCW47" s="22"/>
      <c r="BCX47" s="22"/>
      <c r="BCY47" s="22"/>
      <c r="BCZ47" s="22"/>
      <c r="BDA47" s="22"/>
      <c r="BDB47" s="22"/>
      <c r="BDC47" s="22"/>
      <c r="BDD47" s="22"/>
      <c r="BDE47" s="22"/>
      <c r="BDF47" s="22"/>
      <c r="BDG47" s="22"/>
      <c r="BDH47" s="22"/>
      <c r="BDI47" s="22"/>
      <c r="BDJ47" s="22"/>
      <c r="BDK47" s="22"/>
      <c r="BDL47" s="22"/>
      <c r="BDM47" s="22"/>
      <c r="BDN47" s="22"/>
      <c r="BDO47" s="22"/>
      <c r="BDP47" s="22"/>
      <c r="BDQ47" s="22"/>
      <c r="BDR47" s="22"/>
      <c r="BDS47" s="22"/>
      <c r="BDT47" s="22"/>
      <c r="BDU47" s="22"/>
      <c r="BDV47" s="22"/>
      <c r="BDW47" s="22"/>
      <c r="BDX47" s="22"/>
      <c r="BDY47" s="22"/>
      <c r="BDZ47" s="22"/>
      <c r="BEA47" s="22"/>
      <c r="BEB47" s="22"/>
      <c r="BEC47" s="22"/>
      <c r="BED47" s="22"/>
      <c r="BEE47" s="22"/>
      <c r="BEF47" s="22"/>
      <c r="BEG47" s="22"/>
      <c r="BEH47" s="22"/>
      <c r="BEI47" s="22"/>
      <c r="BEJ47" s="22"/>
      <c r="BEK47" s="22"/>
      <c r="BEL47" s="22"/>
      <c r="BEM47" s="22"/>
      <c r="BEN47" s="22"/>
      <c r="BEO47" s="22"/>
      <c r="BEP47" s="22"/>
      <c r="BEQ47" s="22"/>
      <c r="BER47" s="22"/>
      <c r="BES47" s="22"/>
      <c r="BET47" s="22"/>
      <c r="BEU47" s="22"/>
      <c r="BEV47" s="22"/>
      <c r="BEW47" s="22"/>
      <c r="BEX47" s="22"/>
      <c r="BEY47" s="22"/>
      <c r="BEZ47" s="22"/>
      <c r="BFA47" s="22"/>
      <c r="BFB47" s="22"/>
      <c r="BFC47" s="22"/>
      <c r="BFD47" s="22"/>
      <c r="BFE47" s="22"/>
      <c r="BFF47" s="22"/>
      <c r="BFG47" s="22"/>
      <c r="BFH47" s="22"/>
      <c r="BFI47" s="22"/>
      <c r="BFJ47" s="22"/>
      <c r="BFK47" s="22"/>
      <c r="BFL47" s="22"/>
      <c r="BFM47" s="22"/>
      <c r="BFN47" s="22"/>
      <c r="BFO47" s="22"/>
      <c r="BFP47" s="22"/>
      <c r="BFQ47" s="22"/>
      <c r="BFR47" s="22"/>
      <c r="BFS47" s="22"/>
      <c r="BFT47" s="22"/>
      <c r="BFU47" s="22"/>
      <c r="BFV47" s="22"/>
      <c r="BFW47" s="22"/>
      <c r="BFX47" s="22"/>
      <c r="BFY47" s="22"/>
      <c r="BFZ47" s="22"/>
      <c r="BGA47" s="22"/>
      <c r="BGB47" s="22"/>
      <c r="BGC47" s="22"/>
      <c r="BGD47" s="22"/>
      <c r="BGE47" s="22"/>
      <c r="BGF47" s="22"/>
      <c r="BGG47" s="22"/>
      <c r="BGH47" s="22"/>
      <c r="BGI47" s="22"/>
      <c r="BGJ47" s="22"/>
      <c r="BGK47" s="22"/>
      <c r="BGL47" s="22"/>
      <c r="BGM47" s="22"/>
      <c r="BGN47" s="22"/>
      <c r="BGO47" s="22"/>
      <c r="BGP47" s="22"/>
      <c r="BGQ47" s="22"/>
      <c r="BGR47" s="22"/>
      <c r="BGS47" s="22"/>
      <c r="BGT47" s="22"/>
      <c r="BGU47" s="22"/>
      <c r="BGV47" s="22"/>
      <c r="BGW47" s="22"/>
      <c r="BGX47" s="22"/>
      <c r="BGY47" s="22"/>
      <c r="BGZ47" s="22"/>
      <c r="BHA47" s="22"/>
      <c r="BHB47" s="22"/>
      <c r="BHC47" s="22"/>
      <c r="BHD47" s="22"/>
      <c r="BHE47" s="22"/>
      <c r="BHF47" s="22"/>
      <c r="BHG47" s="22"/>
      <c r="BHH47" s="22"/>
      <c r="BHI47" s="22"/>
      <c r="BHJ47" s="22"/>
      <c r="BHK47" s="22"/>
      <c r="BHL47" s="22"/>
      <c r="BHM47" s="22"/>
      <c r="BHN47" s="22"/>
      <c r="BHO47" s="22"/>
      <c r="BHP47" s="22"/>
      <c r="BHQ47" s="22"/>
      <c r="BHR47" s="22"/>
      <c r="BHS47" s="22"/>
      <c r="BHT47" s="22"/>
      <c r="BHU47" s="22"/>
      <c r="BHV47" s="22"/>
      <c r="BHW47" s="22"/>
      <c r="BHX47" s="22"/>
      <c r="BHY47" s="22"/>
      <c r="BHZ47" s="22"/>
      <c r="BIA47" s="22"/>
      <c r="BIB47" s="22"/>
      <c r="BIC47" s="22"/>
      <c r="BID47" s="22"/>
      <c r="BIE47" s="22"/>
      <c r="BIF47" s="22"/>
      <c r="BIG47" s="22"/>
      <c r="BIH47" s="22"/>
      <c r="BII47" s="22"/>
      <c r="BIJ47" s="22"/>
      <c r="BIK47" s="22"/>
      <c r="BIL47" s="22"/>
      <c r="BIM47" s="22"/>
      <c r="BIN47" s="22"/>
      <c r="BIO47" s="22"/>
      <c r="BIP47" s="22"/>
      <c r="BIQ47" s="22"/>
      <c r="BIR47" s="22"/>
      <c r="BIS47" s="22"/>
      <c r="BIT47" s="22"/>
      <c r="BIU47" s="22"/>
      <c r="BIV47" s="22"/>
      <c r="BIW47" s="22"/>
      <c r="BIX47" s="22"/>
      <c r="BIY47" s="22"/>
      <c r="BIZ47" s="22"/>
      <c r="BJA47" s="22"/>
      <c r="BJB47" s="22"/>
      <c r="BJC47" s="22"/>
      <c r="BJD47" s="22"/>
      <c r="BJE47" s="22"/>
      <c r="BJF47" s="22"/>
      <c r="BJG47" s="22"/>
      <c r="BJH47" s="22"/>
      <c r="BJI47" s="22"/>
      <c r="BJJ47" s="22"/>
      <c r="BJK47" s="22"/>
      <c r="BJL47" s="22"/>
      <c r="BJM47" s="22"/>
      <c r="BJN47" s="22"/>
      <c r="BJO47" s="22"/>
      <c r="BJP47" s="22"/>
      <c r="BJQ47" s="22"/>
      <c r="BJR47" s="22"/>
      <c r="BJS47" s="22"/>
      <c r="BJT47" s="22"/>
      <c r="BJU47" s="22"/>
      <c r="BJV47" s="22"/>
      <c r="BJW47" s="22"/>
      <c r="BJX47" s="22"/>
      <c r="BJY47" s="22"/>
      <c r="BJZ47" s="22"/>
      <c r="BKA47" s="22"/>
      <c r="BKB47" s="22"/>
      <c r="BKC47" s="22"/>
      <c r="BKD47" s="22"/>
      <c r="BKE47" s="22"/>
      <c r="BKF47" s="22"/>
      <c r="BKG47" s="22"/>
      <c r="BKH47" s="22"/>
      <c r="BKI47" s="22"/>
      <c r="BKJ47" s="22"/>
      <c r="BKK47" s="22"/>
      <c r="BKL47" s="22"/>
      <c r="BKM47" s="22"/>
      <c r="BKN47" s="22"/>
      <c r="BKO47" s="22"/>
      <c r="BKP47" s="22"/>
      <c r="BKQ47" s="22"/>
      <c r="BKR47" s="22"/>
      <c r="BKS47" s="22"/>
      <c r="BKT47" s="22"/>
      <c r="BKU47" s="22"/>
      <c r="BKV47" s="22"/>
      <c r="BKW47" s="22"/>
      <c r="BKX47" s="22"/>
      <c r="BKY47" s="22"/>
      <c r="BKZ47" s="22"/>
      <c r="BLA47" s="22"/>
      <c r="BLB47" s="22"/>
      <c r="BLC47" s="22"/>
      <c r="BLD47" s="22"/>
      <c r="BLE47" s="22"/>
      <c r="BLF47" s="22"/>
      <c r="BLG47" s="22"/>
      <c r="BLH47" s="22"/>
      <c r="BLI47" s="22"/>
      <c r="BLJ47" s="22"/>
      <c r="BLK47" s="22"/>
      <c r="BLL47" s="22"/>
      <c r="BLM47" s="22"/>
      <c r="BLN47" s="22"/>
      <c r="BLO47" s="22"/>
      <c r="BLP47" s="22"/>
      <c r="BLQ47" s="22"/>
      <c r="BLR47" s="22"/>
      <c r="BLS47" s="22"/>
      <c r="BLT47" s="22"/>
      <c r="BLU47" s="22"/>
      <c r="BLV47" s="22"/>
      <c r="BLW47" s="22"/>
      <c r="BLX47" s="22"/>
      <c r="BLY47" s="22"/>
      <c r="BLZ47" s="22"/>
      <c r="BMA47" s="22"/>
      <c r="BMB47" s="22"/>
      <c r="BMC47" s="22"/>
      <c r="BMD47" s="22"/>
      <c r="BME47" s="22"/>
      <c r="BMF47" s="22"/>
      <c r="BMG47" s="22"/>
      <c r="BMH47" s="22"/>
      <c r="BMI47" s="22"/>
      <c r="BMJ47" s="22"/>
      <c r="BMK47" s="22"/>
      <c r="BML47" s="22"/>
      <c r="BMM47" s="22"/>
      <c r="BMN47" s="22"/>
      <c r="BMO47" s="22"/>
      <c r="BMP47" s="22"/>
      <c r="BMQ47" s="22"/>
      <c r="BMR47" s="22"/>
      <c r="BMS47" s="22"/>
      <c r="BMT47" s="22"/>
      <c r="BMU47" s="22"/>
      <c r="BMV47" s="22"/>
      <c r="BMW47" s="22"/>
      <c r="BMX47" s="22"/>
      <c r="BMY47" s="22"/>
      <c r="BMZ47" s="22"/>
      <c r="BNA47" s="22"/>
      <c r="BNB47" s="22"/>
      <c r="BNC47" s="22"/>
      <c r="BND47" s="22"/>
      <c r="BNE47" s="22"/>
      <c r="BNF47" s="22"/>
      <c r="BNG47" s="22"/>
      <c r="BNH47" s="22"/>
      <c r="BNI47" s="22"/>
      <c r="BNJ47" s="22"/>
      <c r="BNK47" s="22"/>
      <c r="BNL47" s="22"/>
      <c r="BNM47" s="22"/>
      <c r="BNN47" s="22"/>
      <c r="BNO47" s="22"/>
      <c r="BNP47" s="22"/>
      <c r="BNQ47" s="22"/>
      <c r="BNR47" s="22"/>
      <c r="BNS47" s="22"/>
      <c r="BNT47" s="22"/>
      <c r="BNU47" s="22"/>
      <c r="BNV47" s="22"/>
      <c r="BNW47" s="22"/>
      <c r="BNX47" s="22"/>
      <c r="BNY47" s="22"/>
      <c r="BNZ47" s="22"/>
      <c r="BOA47" s="22"/>
      <c r="BOB47" s="22"/>
      <c r="BOC47" s="22"/>
      <c r="BOD47" s="22"/>
      <c r="BOE47" s="22"/>
      <c r="BOF47" s="22"/>
      <c r="BOG47" s="22"/>
      <c r="BOH47" s="22"/>
      <c r="BOI47" s="22"/>
      <c r="BOJ47" s="22"/>
      <c r="BOK47" s="22"/>
      <c r="BOL47" s="22"/>
      <c r="BOM47" s="22"/>
      <c r="BON47" s="22"/>
      <c r="BOO47" s="22"/>
      <c r="BOP47" s="22"/>
      <c r="BOQ47" s="22"/>
      <c r="BOR47" s="22"/>
      <c r="BOS47" s="22"/>
      <c r="BOT47" s="22"/>
      <c r="BOU47" s="22"/>
      <c r="BOV47" s="22"/>
      <c r="BOW47" s="22"/>
      <c r="BOX47" s="22"/>
      <c r="BOY47" s="22"/>
      <c r="BOZ47" s="22"/>
      <c r="BPA47" s="22"/>
      <c r="BPB47" s="22"/>
      <c r="BPC47" s="22"/>
      <c r="BPD47" s="22"/>
      <c r="BPE47" s="22"/>
      <c r="BPF47" s="22"/>
      <c r="BPG47" s="22"/>
      <c r="BPH47" s="22"/>
      <c r="BPI47" s="22"/>
      <c r="BPJ47" s="22"/>
      <c r="BPK47" s="22"/>
      <c r="BPL47" s="22"/>
      <c r="BPM47" s="22"/>
      <c r="BPN47" s="22"/>
      <c r="BPO47" s="22"/>
      <c r="BPP47" s="22"/>
      <c r="BPQ47" s="22"/>
      <c r="BPR47" s="22"/>
      <c r="BPS47" s="22"/>
      <c r="BPT47" s="22"/>
      <c r="BPU47" s="22"/>
      <c r="BPV47" s="22"/>
      <c r="BPW47" s="22"/>
      <c r="BPX47" s="22"/>
      <c r="BPY47" s="22"/>
      <c r="BPZ47" s="22"/>
      <c r="BQA47" s="22"/>
      <c r="BQB47" s="22"/>
      <c r="BQC47" s="22"/>
      <c r="BQD47" s="22"/>
      <c r="BQE47" s="22"/>
      <c r="BQF47" s="22"/>
      <c r="BQG47" s="22"/>
      <c r="BQH47" s="22"/>
      <c r="BQI47" s="22"/>
      <c r="BQJ47" s="22"/>
      <c r="BQK47" s="22"/>
      <c r="BQL47" s="22"/>
      <c r="BQM47" s="22"/>
      <c r="BQN47" s="22"/>
      <c r="BQO47" s="22"/>
      <c r="BQP47" s="22"/>
      <c r="BQQ47" s="22"/>
      <c r="BQR47" s="22"/>
      <c r="BQS47" s="22"/>
      <c r="BQT47" s="22"/>
      <c r="BQU47" s="22"/>
      <c r="BQV47" s="22"/>
      <c r="BQW47" s="22"/>
      <c r="BQX47" s="22"/>
      <c r="BQY47" s="22"/>
      <c r="BQZ47" s="22"/>
      <c r="BRA47" s="22"/>
      <c r="BRB47" s="22"/>
      <c r="BRC47" s="22"/>
      <c r="BRD47" s="22"/>
      <c r="BRE47" s="22"/>
      <c r="BRF47" s="22"/>
      <c r="BRG47" s="22"/>
      <c r="BRH47" s="22"/>
      <c r="BRI47" s="22"/>
      <c r="BRJ47" s="22"/>
      <c r="BRK47" s="22"/>
      <c r="BRL47" s="22"/>
      <c r="BRM47" s="22"/>
      <c r="BRN47" s="22"/>
      <c r="BRO47" s="22"/>
      <c r="BRP47" s="22"/>
      <c r="BRQ47" s="22"/>
      <c r="BRR47" s="22"/>
      <c r="BRS47" s="22"/>
      <c r="BRT47" s="22"/>
      <c r="BRU47" s="22"/>
      <c r="BRV47" s="22"/>
      <c r="BRW47" s="22"/>
      <c r="BRX47" s="22"/>
      <c r="BRY47" s="22"/>
      <c r="BRZ47" s="22"/>
      <c r="BSA47" s="22"/>
      <c r="BSB47" s="22"/>
      <c r="BSC47" s="22"/>
      <c r="BSD47" s="22"/>
      <c r="BSE47" s="22"/>
      <c r="BSF47" s="22"/>
      <c r="BSG47" s="22"/>
      <c r="BSH47" s="22"/>
      <c r="BSI47" s="22"/>
      <c r="BSJ47" s="22"/>
      <c r="BSK47" s="22"/>
      <c r="BSL47" s="22"/>
      <c r="BSM47" s="22"/>
      <c r="BSN47" s="22"/>
      <c r="BSO47" s="22"/>
      <c r="BSP47" s="22"/>
      <c r="BSQ47" s="22"/>
      <c r="BSR47" s="22"/>
      <c r="BSS47" s="22"/>
      <c r="BST47" s="22"/>
      <c r="BSU47" s="22"/>
      <c r="BSV47" s="22"/>
      <c r="BSW47" s="22"/>
      <c r="BSX47" s="22"/>
      <c r="BSY47" s="22"/>
      <c r="BSZ47" s="22"/>
      <c r="BTA47" s="22"/>
      <c r="BTB47" s="22"/>
      <c r="BTC47" s="22"/>
      <c r="BTD47" s="22"/>
      <c r="BTE47" s="22"/>
      <c r="BTF47" s="22"/>
      <c r="BTG47" s="22"/>
      <c r="BTH47" s="22"/>
      <c r="BTI47" s="22"/>
      <c r="BTJ47" s="22"/>
      <c r="BTK47" s="22"/>
      <c r="BTL47" s="22"/>
      <c r="BTM47" s="22"/>
      <c r="BTN47" s="22"/>
      <c r="BTO47" s="22"/>
      <c r="BTP47" s="22"/>
      <c r="BTQ47" s="22"/>
      <c r="BTR47" s="22"/>
      <c r="BTS47" s="22"/>
      <c r="BTT47" s="22"/>
      <c r="BTU47" s="22"/>
      <c r="BTV47" s="22"/>
      <c r="BTW47" s="22"/>
      <c r="BTX47" s="22"/>
      <c r="BTY47" s="22"/>
      <c r="BTZ47" s="22"/>
      <c r="BUA47" s="22"/>
      <c r="BUB47" s="22"/>
      <c r="BUC47" s="22"/>
      <c r="BUD47" s="22"/>
      <c r="BUE47" s="22"/>
      <c r="BUF47" s="22"/>
      <c r="BUG47" s="22"/>
      <c r="BUH47" s="22"/>
      <c r="BUI47" s="22"/>
      <c r="BUJ47" s="22"/>
      <c r="BUK47" s="22"/>
      <c r="BUL47" s="22"/>
      <c r="BUM47" s="22"/>
      <c r="BUN47" s="22"/>
      <c r="BUO47" s="22"/>
      <c r="BUP47" s="22"/>
      <c r="BUQ47" s="22"/>
      <c r="BUR47" s="22"/>
      <c r="BUS47" s="22"/>
      <c r="BUT47" s="22"/>
      <c r="BUU47" s="22"/>
      <c r="BUV47" s="22"/>
      <c r="BUW47" s="22"/>
      <c r="BUX47" s="22"/>
      <c r="BUY47" s="22"/>
      <c r="BUZ47" s="22"/>
      <c r="BVA47" s="22"/>
      <c r="BVB47" s="22"/>
      <c r="BVC47" s="22"/>
      <c r="BVD47" s="22"/>
      <c r="BVE47" s="22"/>
      <c r="BVF47" s="22"/>
      <c r="BVG47" s="22"/>
      <c r="BVH47" s="22"/>
      <c r="BVI47" s="22"/>
      <c r="BVJ47" s="22"/>
      <c r="BVK47" s="22"/>
      <c r="BVL47" s="22"/>
      <c r="BVM47" s="22"/>
      <c r="BVN47" s="22"/>
      <c r="BVO47" s="22"/>
      <c r="BVP47" s="22"/>
      <c r="BVQ47" s="22"/>
      <c r="BVR47" s="22"/>
      <c r="BVS47" s="22"/>
      <c r="BVT47" s="22"/>
      <c r="BVU47" s="22"/>
      <c r="BVV47" s="22"/>
      <c r="BVW47" s="22"/>
      <c r="BVX47" s="22"/>
      <c r="BVY47" s="22"/>
      <c r="BVZ47" s="22"/>
      <c r="BWA47" s="22"/>
      <c r="BWB47" s="22"/>
      <c r="BWC47" s="22"/>
      <c r="BWD47" s="22"/>
      <c r="BWE47" s="22"/>
      <c r="BWF47" s="22"/>
      <c r="BWG47" s="22"/>
      <c r="BWH47" s="22"/>
      <c r="BWI47" s="22"/>
      <c r="BWJ47" s="22"/>
      <c r="BWK47" s="22"/>
      <c r="BWL47" s="22"/>
      <c r="BWM47" s="22"/>
      <c r="BWN47" s="22"/>
      <c r="BWO47" s="22"/>
      <c r="BWP47" s="22"/>
      <c r="BWQ47" s="22"/>
      <c r="BWR47" s="22"/>
      <c r="BWS47" s="22"/>
      <c r="BWT47" s="22"/>
      <c r="BWU47" s="22"/>
      <c r="BWV47" s="22"/>
      <c r="BWW47" s="22"/>
      <c r="BWX47" s="22"/>
      <c r="BWY47" s="22"/>
      <c r="BWZ47" s="22"/>
      <c r="BXA47" s="22"/>
      <c r="BXB47" s="22"/>
      <c r="BXC47" s="22"/>
      <c r="BXD47" s="22"/>
      <c r="BXE47" s="22"/>
      <c r="BXF47" s="22"/>
      <c r="BXG47" s="22"/>
      <c r="BXH47" s="22"/>
      <c r="BXI47" s="22"/>
      <c r="BXJ47" s="22"/>
      <c r="BXK47" s="22"/>
      <c r="BXL47" s="22"/>
      <c r="BXM47" s="22"/>
      <c r="BXN47" s="22"/>
      <c r="BXO47" s="22"/>
      <c r="BXP47" s="22"/>
      <c r="BXQ47" s="22"/>
      <c r="BXR47" s="22"/>
      <c r="BXS47" s="22"/>
      <c r="BXT47" s="22"/>
      <c r="BXU47" s="22"/>
      <c r="BXV47" s="22"/>
      <c r="BXW47" s="22"/>
      <c r="BXX47" s="22"/>
      <c r="BXY47" s="22"/>
      <c r="BXZ47" s="22"/>
      <c r="BYA47" s="22"/>
      <c r="BYB47" s="22"/>
      <c r="BYC47" s="22"/>
      <c r="BYD47" s="22"/>
      <c r="BYE47" s="22"/>
      <c r="BYF47" s="22"/>
      <c r="BYG47" s="22"/>
      <c r="BYH47" s="22"/>
      <c r="BYI47" s="22"/>
      <c r="BYJ47" s="22"/>
      <c r="BYK47" s="22"/>
      <c r="BYL47" s="22"/>
      <c r="BYM47" s="22"/>
      <c r="BYN47" s="22"/>
      <c r="BYO47" s="22"/>
      <c r="BYP47" s="22"/>
      <c r="BYQ47" s="22"/>
      <c r="BYR47" s="22"/>
      <c r="BYS47" s="22"/>
      <c r="BYT47" s="22"/>
      <c r="BYU47" s="22"/>
      <c r="BYV47" s="22"/>
      <c r="BYW47" s="22"/>
      <c r="BYX47" s="22"/>
      <c r="BYY47" s="22"/>
      <c r="BYZ47" s="22"/>
      <c r="BZA47" s="22"/>
      <c r="BZB47" s="22"/>
      <c r="BZC47" s="22"/>
      <c r="BZD47" s="22"/>
      <c r="BZE47" s="22"/>
      <c r="BZF47" s="22"/>
      <c r="BZG47" s="22"/>
      <c r="BZH47" s="22"/>
      <c r="BZI47" s="22"/>
      <c r="BZJ47" s="22"/>
      <c r="BZK47" s="22"/>
      <c r="BZL47" s="22"/>
      <c r="BZM47" s="22"/>
      <c r="BZN47" s="22"/>
      <c r="BZO47" s="22"/>
      <c r="BZP47" s="22"/>
      <c r="BZQ47" s="22"/>
      <c r="BZR47" s="22"/>
      <c r="BZS47" s="22"/>
      <c r="BZT47" s="22"/>
      <c r="BZU47" s="22"/>
      <c r="BZV47" s="22"/>
      <c r="BZW47" s="22"/>
      <c r="BZX47" s="22"/>
      <c r="BZY47" s="22"/>
      <c r="BZZ47" s="22"/>
      <c r="CAA47" s="22"/>
      <c r="CAB47" s="22"/>
      <c r="CAC47" s="22"/>
      <c r="CAD47" s="22"/>
      <c r="CAE47" s="22"/>
      <c r="CAF47" s="22"/>
      <c r="CAG47" s="22"/>
      <c r="CAH47" s="22"/>
      <c r="CAI47" s="22"/>
      <c r="CAJ47" s="22"/>
      <c r="CAK47" s="22"/>
      <c r="CAL47" s="22"/>
      <c r="CAM47" s="22"/>
      <c r="CAN47" s="22"/>
      <c r="CAO47" s="22"/>
      <c r="CAP47" s="22"/>
      <c r="CAQ47" s="22"/>
      <c r="CAR47" s="22"/>
      <c r="CAS47" s="22"/>
      <c r="CAT47" s="22"/>
      <c r="CAU47" s="22"/>
      <c r="CAV47" s="22"/>
      <c r="CAW47" s="22"/>
      <c r="CAX47" s="22"/>
      <c r="CAY47" s="22"/>
      <c r="CAZ47" s="22"/>
      <c r="CBA47" s="22"/>
      <c r="CBB47" s="22"/>
      <c r="CBC47" s="22"/>
      <c r="CBD47" s="22"/>
      <c r="CBE47" s="22"/>
      <c r="CBF47" s="22"/>
      <c r="CBG47" s="22"/>
      <c r="CBH47" s="22"/>
      <c r="CBI47" s="22"/>
      <c r="CBJ47" s="22"/>
      <c r="CBK47" s="22"/>
      <c r="CBL47" s="22"/>
      <c r="CBM47" s="22"/>
      <c r="CBN47" s="22"/>
      <c r="CBO47" s="22"/>
      <c r="CBP47" s="22"/>
      <c r="CBQ47" s="22"/>
      <c r="CBR47" s="22"/>
      <c r="CBS47" s="22"/>
      <c r="CBT47" s="22"/>
      <c r="CBU47" s="22"/>
      <c r="CBV47" s="22"/>
      <c r="CBW47" s="22"/>
      <c r="CBX47" s="22"/>
      <c r="CBY47" s="22"/>
      <c r="CBZ47" s="22"/>
      <c r="CCA47" s="22"/>
      <c r="CCB47" s="22"/>
      <c r="CCC47" s="22"/>
      <c r="CCD47" s="22"/>
      <c r="CCE47" s="22"/>
      <c r="CCF47" s="22"/>
      <c r="CCG47" s="22"/>
      <c r="CCH47" s="22"/>
      <c r="CCI47" s="22"/>
      <c r="CCJ47" s="22"/>
      <c r="CCK47" s="22"/>
      <c r="CCL47" s="22"/>
      <c r="CCM47" s="22"/>
      <c r="CCN47" s="22"/>
      <c r="CCO47" s="22"/>
      <c r="CCP47" s="22"/>
      <c r="CCQ47" s="22"/>
      <c r="CCR47" s="22"/>
      <c r="CCS47" s="22"/>
      <c r="CCT47" s="22"/>
      <c r="CCU47" s="22"/>
      <c r="CCV47" s="22"/>
      <c r="CCW47" s="22"/>
      <c r="CCX47" s="22"/>
      <c r="CCY47" s="22"/>
      <c r="CCZ47" s="22"/>
      <c r="CDA47" s="22"/>
      <c r="CDB47" s="22"/>
      <c r="CDC47" s="22"/>
      <c r="CDD47" s="22"/>
      <c r="CDE47" s="22"/>
      <c r="CDF47" s="22"/>
      <c r="CDG47" s="22"/>
      <c r="CDH47" s="22"/>
      <c r="CDI47" s="22"/>
      <c r="CDJ47" s="22"/>
      <c r="CDK47" s="22"/>
      <c r="CDL47" s="22"/>
      <c r="CDM47" s="22"/>
      <c r="CDN47" s="22"/>
      <c r="CDO47" s="22"/>
      <c r="CDP47" s="22"/>
      <c r="CDQ47" s="22"/>
      <c r="CDR47" s="22"/>
      <c r="CDS47" s="22"/>
      <c r="CDT47" s="22"/>
      <c r="CDU47" s="22"/>
      <c r="CDV47" s="22"/>
      <c r="CDW47" s="22"/>
      <c r="CDX47" s="22"/>
      <c r="CDY47" s="22"/>
      <c r="CDZ47" s="22"/>
      <c r="CEA47" s="22"/>
      <c r="CEB47" s="22"/>
      <c r="CEC47" s="22"/>
      <c r="CED47" s="22"/>
      <c r="CEE47" s="22"/>
      <c r="CEF47" s="22"/>
      <c r="CEG47" s="22"/>
      <c r="CEH47" s="22"/>
      <c r="CEI47" s="22"/>
      <c r="CEJ47" s="22"/>
      <c r="CEK47" s="22"/>
      <c r="CEL47" s="22"/>
      <c r="CEM47" s="22"/>
      <c r="CEN47" s="22"/>
      <c r="CEO47" s="22"/>
      <c r="CEP47" s="22"/>
      <c r="CEQ47" s="22"/>
      <c r="CER47" s="22"/>
      <c r="CES47" s="22"/>
      <c r="CET47" s="22"/>
      <c r="CEU47" s="22"/>
      <c r="CEV47" s="22"/>
      <c r="CEW47" s="22"/>
      <c r="CEX47" s="22"/>
      <c r="CEY47" s="22"/>
      <c r="CEZ47" s="22"/>
      <c r="CFA47" s="22"/>
      <c r="CFB47" s="22"/>
      <c r="CFC47" s="22"/>
      <c r="CFD47" s="22"/>
      <c r="CFE47" s="22"/>
      <c r="CFF47" s="22"/>
      <c r="CFG47" s="22"/>
      <c r="CFH47" s="22"/>
      <c r="CFI47" s="22"/>
      <c r="CFJ47" s="22"/>
      <c r="CFK47" s="22"/>
      <c r="CFL47" s="22"/>
      <c r="CFM47" s="22"/>
      <c r="CFN47" s="22"/>
      <c r="CFO47" s="22"/>
      <c r="CFP47" s="22"/>
      <c r="CFQ47" s="22"/>
      <c r="CFR47" s="22"/>
      <c r="CFS47" s="22"/>
      <c r="CFT47" s="22"/>
      <c r="CFU47" s="22"/>
      <c r="CFV47" s="22"/>
      <c r="CFW47" s="22"/>
      <c r="CFX47" s="22"/>
      <c r="CFY47" s="22"/>
      <c r="CFZ47" s="22"/>
      <c r="CGA47" s="22"/>
      <c r="CGB47" s="22"/>
      <c r="CGC47" s="22"/>
      <c r="CGD47" s="22"/>
      <c r="CGE47" s="22"/>
      <c r="CGF47" s="22"/>
      <c r="CGG47" s="22"/>
      <c r="CGH47" s="22"/>
      <c r="CGI47" s="22"/>
      <c r="CGJ47" s="22"/>
      <c r="CGK47" s="22"/>
      <c r="CGL47" s="22"/>
      <c r="CGM47" s="22"/>
      <c r="CGN47" s="22"/>
      <c r="CGO47" s="22"/>
      <c r="CGP47" s="22"/>
      <c r="CGQ47" s="22"/>
      <c r="CGR47" s="22"/>
      <c r="CGS47" s="22"/>
      <c r="CGT47" s="22"/>
      <c r="CGU47" s="22"/>
      <c r="CGV47" s="22"/>
      <c r="CGW47" s="22"/>
      <c r="CGX47" s="22"/>
      <c r="CGY47" s="22"/>
      <c r="CGZ47" s="22"/>
      <c r="CHA47" s="22"/>
      <c r="CHB47" s="22"/>
      <c r="CHC47" s="22"/>
      <c r="CHD47" s="22"/>
      <c r="CHE47" s="22"/>
      <c r="CHF47" s="22"/>
      <c r="CHG47" s="22"/>
      <c r="CHH47" s="22"/>
      <c r="CHI47" s="22"/>
      <c r="CHJ47" s="22"/>
      <c r="CHK47" s="22"/>
      <c r="CHL47" s="22"/>
      <c r="CHM47" s="22"/>
      <c r="CHN47" s="22"/>
      <c r="CHO47" s="22"/>
      <c r="CHP47" s="22"/>
      <c r="CHQ47" s="22"/>
      <c r="CHR47" s="22"/>
      <c r="CHS47" s="22"/>
      <c r="CHT47" s="22"/>
      <c r="CHU47" s="22"/>
      <c r="CHV47" s="22"/>
      <c r="CHW47" s="22"/>
      <c r="CHX47" s="22"/>
      <c r="CHY47" s="22"/>
      <c r="CHZ47" s="22"/>
      <c r="CIA47" s="22"/>
      <c r="CIB47" s="22"/>
      <c r="CIC47" s="22"/>
      <c r="CID47" s="22"/>
      <c r="CIE47" s="22"/>
      <c r="CIF47" s="22"/>
      <c r="CIG47" s="22"/>
      <c r="CIH47" s="22"/>
      <c r="CII47" s="22"/>
      <c r="CIJ47" s="22"/>
      <c r="CIK47" s="22"/>
      <c r="CIL47" s="22"/>
      <c r="CIM47" s="22"/>
      <c r="CIN47" s="22"/>
      <c r="CIO47" s="22"/>
      <c r="CIP47" s="22"/>
      <c r="CIQ47" s="22"/>
      <c r="CIR47" s="22"/>
      <c r="CIS47" s="22"/>
      <c r="CIT47" s="22"/>
      <c r="CIU47" s="22"/>
      <c r="CIV47" s="22"/>
      <c r="CIW47" s="22"/>
      <c r="CIX47" s="22"/>
      <c r="CIY47" s="22"/>
      <c r="CIZ47" s="22"/>
      <c r="CJA47" s="22"/>
      <c r="CJB47" s="22"/>
      <c r="CJC47" s="22"/>
      <c r="CJD47" s="22"/>
      <c r="CJE47" s="22"/>
      <c r="CJF47" s="22"/>
      <c r="CJG47" s="22"/>
      <c r="CJH47" s="22"/>
      <c r="CJI47" s="22"/>
      <c r="CJJ47" s="22"/>
      <c r="CJK47" s="22"/>
      <c r="CJL47" s="22"/>
      <c r="CJM47" s="22"/>
      <c r="CJN47" s="22"/>
      <c r="CJO47" s="22"/>
      <c r="CJP47" s="22"/>
      <c r="CJQ47" s="22"/>
      <c r="CJR47" s="22"/>
      <c r="CJS47" s="22"/>
      <c r="CJT47" s="22"/>
      <c r="CJU47" s="22"/>
      <c r="CJV47" s="22"/>
      <c r="CJW47" s="22"/>
      <c r="CJX47" s="22"/>
      <c r="CJY47" s="22"/>
      <c r="CJZ47" s="22"/>
      <c r="CKA47" s="22"/>
      <c r="CKB47" s="22"/>
      <c r="CKC47" s="22"/>
      <c r="CKD47" s="22"/>
      <c r="CKE47" s="22"/>
      <c r="CKF47" s="22"/>
      <c r="CKG47" s="22"/>
      <c r="CKH47" s="22"/>
      <c r="CKI47" s="22"/>
      <c r="CKJ47" s="22"/>
      <c r="CKK47" s="22"/>
      <c r="CKL47" s="22"/>
      <c r="CKM47" s="22"/>
      <c r="CKN47" s="22"/>
      <c r="CKO47" s="22"/>
      <c r="CKP47" s="22"/>
      <c r="CKQ47" s="22"/>
      <c r="CKR47" s="22"/>
      <c r="CKS47" s="22"/>
      <c r="CKT47" s="22"/>
      <c r="CKU47" s="22"/>
      <c r="CKV47" s="22"/>
      <c r="CKW47" s="22"/>
      <c r="CKX47" s="22"/>
      <c r="CKY47" s="22"/>
      <c r="CKZ47" s="22"/>
      <c r="CLA47" s="22"/>
      <c r="CLB47" s="22"/>
      <c r="CLC47" s="22"/>
      <c r="CLD47" s="22"/>
      <c r="CLE47" s="22"/>
      <c r="CLF47" s="22"/>
      <c r="CLG47" s="22"/>
      <c r="CLH47" s="22"/>
      <c r="CLI47" s="22"/>
      <c r="CLJ47" s="22"/>
      <c r="CLK47" s="22"/>
      <c r="CLL47" s="22"/>
      <c r="CLM47" s="22"/>
      <c r="CLN47" s="22"/>
      <c r="CLO47" s="22"/>
      <c r="CLP47" s="22"/>
      <c r="CLQ47" s="22"/>
      <c r="CLR47" s="22"/>
      <c r="CLS47" s="22"/>
      <c r="CLT47" s="22"/>
      <c r="CLU47" s="22"/>
      <c r="CLV47" s="22"/>
      <c r="CLW47" s="22"/>
      <c r="CLX47" s="22"/>
      <c r="CLY47" s="22"/>
      <c r="CLZ47" s="22"/>
      <c r="CMA47" s="22"/>
      <c r="CMB47" s="22"/>
      <c r="CMC47" s="22"/>
      <c r="CMD47" s="22"/>
      <c r="CME47" s="22"/>
      <c r="CMF47" s="22"/>
      <c r="CMG47" s="22"/>
      <c r="CMH47" s="22"/>
      <c r="CMI47" s="22"/>
      <c r="CMJ47" s="22"/>
      <c r="CMK47" s="22"/>
      <c r="CML47" s="22"/>
      <c r="CMM47" s="22"/>
      <c r="CMN47" s="22"/>
      <c r="CMO47" s="22"/>
      <c r="CMP47" s="22"/>
      <c r="CMQ47" s="22"/>
      <c r="CMR47" s="22"/>
      <c r="CMS47" s="22"/>
      <c r="CMT47" s="22"/>
      <c r="CMU47" s="22"/>
      <c r="CMV47" s="22"/>
      <c r="CMW47" s="22"/>
      <c r="CMX47" s="22"/>
      <c r="CMY47" s="22"/>
      <c r="CMZ47" s="22"/>
      <c r="CNA47" s="22"/>
      <c r="CNB47" s="22"/>
      <c r="CNC47" s="22"/>
      <c r="CND47" s="22"/>
      <c r="CNE47" s="22"/>
      <c r="CNF47" s="22"/>
      <c r="CNG47" s="22"/>
      <c r="CNH47" s="22"/>
      <c r="CNI47" s="22"/>
      <c r="CNJ47" s="22"/>
      <c r="CNK47" s="22"/>
      <c r="CNL47" s="22"/>
      <c r="CNM47" s="22"/>
      <c r="CNN47" s="22"/>
      <c r="CNO47" s="22"/>
      <c r="CNP47" s="22"/>
      <c r="CNQ47" s="22"/>
      <c r="CNR47" s="22"/>
      <c r="CNS47" s="22"/>
      <c r="CNT47" s="22"/>
      <c r="CNU47" s="22"/>
      <c r="CNV47" s="22"/>
      <c r="CNW47" s="22"/>
      <c r="CNX47" s="22"/>
      <c r="CNY47" s="22"/>
      <c r="CNZ47" s="22"/>
      <c r="COA47" s="22"/>
      <c r="COB47" s="22"/>
      <c r="COC47" s="22"/>
      <c r="COD47" s="22"/>
      <c r="COE47" s="22"/>
      <c r="COF47" s="22"/>
      <c r="COG47" s="22"/>
      <c r="COH47" s="22"/>
      <c r="COI47" s="22"/>
      <c r="COJ47" s="22"/>
      <c r="COK47" s="22"/>
      <c r="COL47" s="22"/>
      <c r="COM47" s="22"/>
      <c r="CON47" s="22"/>
      <c r="COO47" s="22"/>
      <c r="COP47" s="22"/>
      <c r="COQ47" s="22"/>
      <c r="COR47" s="22"/>
      <c r="COS47" s="22"/>
      <c r="COT47" s="22"/>
      <c r="COU47" s="22"/>
      <c r="COV47" s="22"/>
      <c r="COW47" s="22"/>
      <c r="COX47" s="22"/>
      <c r="COY47" s="22"/>
      <c r="COZ47" s="22"/>
      <c r="CPA47" s="22"/>
      <c r="CPB47" s="22"/>
      <c r="CPC47" s="22"/>
      <c r="CPD47" s="22"/>
      <c r="CPE47" s="22"/>
      <c r="CPF47" s="22"/>
      <c r="CPG47" s="22"/>
      <c r="CPH47" s="22"/>
      <c r="CPI47" s="22"/>
      <c r="CPJ47" s="22"/>
      <c r="CPK47" s="22"/>
      <c r="CPL47" s="22"/>
      <c r="CPM47" s="22"/>
      <c r="CPN47" s="22"/>
      <c r="CPO47" s="22"/>
      <c r="CPP47" s="22"/>
      <c r="CPQ47" s="22"/>
      <c r="CPR47" s="22"/>
      <c r="CPS47" s="22"/>
      <c r="CPT47" s="22"/>
      <c r="CPU47" s="22"/>
      <c r="CPV47" s="22"/>
      <c r="CPW47" s="22"/>
      <c r="CPX47" s="22"/>
      <c r="CPY47" s="22"/>
      <c r="CPZ47" s="22"/>
      <c r="CQA47" s="22"/>
      <c r="CQB47" s="22"/>
      <c r="CQC47" s="22"/>
      <c r="CQD47" s="22"/>
      <c r="CQE47" s="22"/>
      <c r="CQF47" s="22"/>
      <c r="CQG47" s="22"/>
      <c r="CQH47" s="22"/>
      <c r="CQI47" s="22"/>
      <c r="CQJ47" s="22"/>
      <c r="CQK47" s="22"/>
      <c r="CQL47" s="22"/>
      <c r="CQM47" s="22"/>
      <c r="CQN47" s="22"/>
      <c r="CQO47" s="22"/>
      <c r="CQP47" s="22"/>
      <c r="CQQ47" s="22"/>
      <c r="CQR47" s="22"/>
      <c r="CQS47" s="22"/>
      <c r="CQT47" s="22"/>
      <c r="CQU47" s="22"/>
      <c r="CQV47" s="22"/>
      <c r="CQW47" s="22"/>
      <c r="CQX47" s="22"/>
      <c r="CQY47" s="22"/>
      <c r="CQZ47" s="22"/>
      <c r="CRA47" s="22"/>
      <c r="CRB47" s="22"/>
      <c r="CRC47" s="22"/>
      <c r="CRD47" s="22"/>
      <c r="CRE47" s="22"/>
      <c r="CRF47" s="22"/>
      <c r="CRG47" s="22"/>
      <c r="CRH47" s="22"/>
      <c r="CRI47" s="22"/>
      <c r="CRJ47" s="22"/>
      <c r="CRK47" s="22"/>
      <c r="CRL47" s="22"/>
      <c r="CRM47" s="22"/>
      <c r="CRN47" s="22"/>
      <c r="CRO47" s="22"/>
      <c r="CRP47" s="22"/>
      <c r="CRQ47" s="22"/>
      <c r="CRR47" s="22"/>
      <c r="CRS47" s="22"/>
      <c r="CRT47" s="22"/>
      <c r="CRU47" s="22"/>
      <c r="CRV47" s="22"/>
      <c r="CRW47" s="22"/>
      <c r="CRX47" s="22"/>
      <c r="CRY47" s="22"/>
      <c r="CRZ47" s="22"/>
      <c r="CSA47" s="22"/>
      <c r="CSB47" s="22"/>
      <c r="CSC47" s="22"/>
      <c r="CSD47" s="22"/>
      <c r="CSE47" s="22"/>
      <c r="CSF47" s="22"/>
      <c r="CSG47" s="22"/>
      <c r="CSH47" s="22"/>
      <c r="CSI47" s="22"/>
      <c r="CSJ47" s="22"/>
      <c r="CSK47" s="22"/>
      <c r="CSL47" s="22"/>
      <c r="CSM47" s="22"/>
      <c r="CSN47" s="22"/>
      <c r="CSO47" s="22"/>
      <c r="CSP47" s="22"/>
      <c r="CSQ47" s="22"/>
      <c r="CSR47" s="22"/>
      <c r="CSS47" s="22"/>
      <c r="CST47" s="22"/>
      <c r="CSU47" s="22"/>
      <c r="CSV47" s="22"/>
      <c r="CSW47" s="22"/>
      <c r="CSX47" s="22"/>
      <c r="CSY47" s="22"/>
      <c r="CSZ47" s="22"/>
      <c r="CTA47" s="22"/>
      <c r="CTB47" s="22"/>
      <c r="CTC47" s="22"/>
      <c r="CTD47" s="22"/>
      <c r="CTE47" s="22"/>
      <c r="CTF47" s="22"/>
      <c r="CTG47" s="22"/>
      <c r="CTH47" s="22"/>
      <c r="CTI47" s="22"/>
      <c r="CTJ47" s="22"/>
      <c r="CTK47" s="22"/>
      <c r="CTL47" s="22"/>
      <c r="CTM47" s="22"/>
      <c r="CTN47" s="22"/>
      <c r="CTO47" s="22"/>
      <c r="CTP47" s="22"/>
      <c r="CTQ47" s="22"/>
      <c r="CTR47" s="22"/>
      <c r="CTS47" s="22"/>
      <c r="CTT47" s="22"/>
      <c r="CTU47" s="22"/>
      <c r="CTV47" s="22"/>
      <c r="CTW47" s="22"/>
      <c r="CTX47" s="22"/>
      <c r="CTY47" s="22"/>
      <c r="CTZ47" s="22"/>
      <c r="CUA47" s="22"/>
      <c r="CUB47" s="22"/>
      <c r="CUC47" s="22"/>
      <c r="CUD47" s="22"/>
      <c r="CUE47" s="22"/>
      <c r="CUF47" s="22"/>
      <c r="CUG47" s="22"/>
      <c r="CUH47" s="22"/>
      <c r="CUI47" s="22"/>
      <c r="CUJ47" s="22"/>
      <c r="CUK47" s="22"/>
      <c r="CUL47" s="22"/>
      <c r="CUM47" s="22"/>
      <c r="CUN47" s="22"/>
      <c r="CUO47" s="22"/>
      <c r="CUP47" s="22"/>
      <c r="CUQ47" s="22"/>
      <c r="CUR47" s="22"/>
      <c r="CUS47" s="22"/>
      <c r="CUT47" s="22"/>
      <c r="CUU47" s="22"/>
      <c r="CUV47" s="22"/>
      <c r="CUW47" s="22"/>
      <c r="CUX47" s="22"/>
      <c r="CUY47" s="22"/>
      <c r="CUZ47" s="22"/>
      <c r="CVA47" s="22"/>
      <c r="CVB47" s="22"/>
      <c r="CVC47" s="22"/>
      <c r="CVD47" s="22"/>
      <c r="CVE47" s="22"/>
      <c r="CVF47" s="22"/>
      <c r="CVG47" s="22"/>
      <c r="CVH47" s="22"/>
      <c r="CVI47" s="22"/>
      <c r="CVJ47" s="22"/>
      <c r="CVK47" s="22"/>
      <c r="CVL47" s="22"/>
      <c r="CVM47" s="22"/>
      <c r="CVN47" s="22"/>
      <c r="CVO47" s="22"/>
      <c r="CVP47" s="22"/>
      <c r="CVQ47" s="22"/>
      <c r="CVR47" s="22"/>
      <c r="CVS47" s="22"/>
      <c r="CVT47" s="22"/>
      <c r="CVU47" s="22"/>
      <c r="CVV47" s="22"/>
      <c r="CVW47" s="22"/>
      <c r="CVX47" s="22"/>
      <c r="CVY47" s="22"/>
      <c r="CVZ47" s="22"/>
      <c r="CWA47" s="22"/>
      <c r="CWB47" s="22"/>
      <c r="CWC47" s="22"/>
      <c r="CWD47" s="22"/>
      <c r="CWE47" s="22"/>
      <c r="CWF47" s="22"/>
      <c r="CWG47" s="22"/>
      <c r="CWH47" s="22"/>
      <c r="CWI47" s="22"/>
      <c r="CWJ47" s="22"/>
      <c r="CWK47" s="22"/>
      <c r="CWL47" s="22"/>
      <c r="CWM47" s="22"/>
      <c r="CWN47" s="22"/>
      <c r="CWO47" s="22"/>
      <c r="CWP47" s="22"/>
      <c r="CWQ47" s="22"/>
      <c r="CWR47" s="22"/>
      <c r="CWS47" s="22"/>
      <c r="CWT47" s="22"/>
      <c r="CWU47" s="22"/>
      <c r="CWV47" s="22"/>
      <c r="CWW47" s="22"/>
      <c r="CWX47" s="22"/>
      <c r="CWY47" s="22"/>
      <c r="CWZ47" s="22"/>
      <c r="CXA47" s="22"/>
      <c r="CXB47" s="22"/>
      <c r="CXC47" s="22"/>
      <c r="CXD47" s="22"/>
      <c r="CXE47" s="22"/>
      <c r="CXF47" s="22"/>
      <c r="CXG47" s="22"/>
      <c r="CXH47" s="22"/>
      <c r="CXI47" s="22"/>
      <c r="CXJ47" s="22"/>
      <c r="CXK47" s="22"/>
      <c r="CXL47" s="22"/>
      <c r="CXM47" s="22"/>
      <c r="CXN47" s="22"/>
      <c r="CXO47" s="22"/>
      <c r="CXP47" s="22"/>
      <c r="CXQ47" s="22"/>
      <c r="CXR47" s="22"/>
      <c r="CXS47" s="22"/>
      <c r="CXT47" s="22"/>
      <c r="CXU47" s="22"/>
      <c r="CXV47" s="22"/>
      <c r="CXW47" s="22"/>
      <c r="CXX47" s="22"/>
      <c r="CXY47" s="22"/>
      <c r="CXZ47" s="22"/>
      <c r="CYA47" s="22"/>
      <c r="CYB47" s="22"/>
      <c r="CYC47" s="22"/>
      <c r="CYD47" s="22"/>
      <c r="CYE47" s="22"/>
      <c r="CYF47" s="22"/>
      <c r="CYG47" s="22"/>
      <c r="CYH47" s="22"/>
      <c r="CYI47" s="22"/>
      <c r="CYJ47" s="22"/>
      <c r="CYK47" s="22"/>
      <c r="CYL47" s="22"/>
      <c r="CYM47" s="22"/>
      <c r="CYN47" s="22"/>
      <c r="CYO47" s="22"/>
      <c r="CYP47" s="22"/>
      <c r="CYQ47" s="22"/>
      <c r="CYR47" s="22"/>
      <c r="CYS47" s="22"/>
      <c r="CYT47" s="22"/>
      <c r="CYU47" s="22"/>
      <c r="CYV47" s="22"/>
      <c r="CYW47" s="22"/>
      <c r="CYX47" s="22"/>
      <c r="CYY47" s="22"/>
      <c r="CYZ47" s="22"/>
      <c r="CZA47" s="22"/>
      <c r="CZB47" s="22"/>
      <c r="CZC47" s="22"/>
      <c r="CZD47" s="22"/>
      <c r="CZE47" s="22"/>
      <c r="CZF47" s="22"/>
      <c r="CZG47" s="22"/>
      <c r="CZH47" s="22"/>
      <c r="CZI47" s="22"/>
      <c r="CZJ47" s="22"/>
      <c r="CZK47" s="22"/>
      <c r="CZL47" s="22"/>
      <c r="CZM47" s="22"/>
      <c r="CZN47" s="22"/>
      <c r="CZO47" s="22"/>
      <c r="CZP47" s="22"/>
      <c r="CZQ47" s="22"/>
      <c r="CZR47" s="22"/>
      <c r="CZS47" s="22"/>
      <c r="CZT47" s="22"/>
      <c r="CZU47" s="22"/>
      <c r="CZV47" s="22"/>
      <c r="CZW47" s="22"/>
      <c r="CZX47" s="22"/>
      <c r="CZY47" s="22"/>
      <c r="CZZ47" s="22"/>
      <c r="DAA47" s="22"/>
      <c r="DAB47" s="22"/>
      <c r="DAC47" s="22"/>
      <c r="DAD47" s="22"/>
      <c r="DAE47" s="22"/>
      <c r="DAF47" s="22"/>
      <c r="DAG47" s="22"/>
      <c r="DAH47" s="22"/>
      <c r="DAI47" s="22"/>
      <c r="DAJ47" s="22"/>
      <c r="DAK47" s="22"/>
      <c r="DAL47" s="22"/>
      <c r="DAM47" s="22"/>
      <c r="DAN47" s="22"/>
      <c r="DAO47" s="22"/>
      <c r="DAP47" s="22"/>
      <c r="DAQ47" s="22"/>
      <c r="DAR47" s="22"/>
      <c r="DAS47" s="22"/>
      <c r="DAT47" s="22"/>
      <c r="DAU47" s="22"/>
      <c r="DAV47" s="22"/>
      <c r="DAW47" s="22"/>
      <c r="DAX47" s="22"/>
      <c r="DAY47" s="22"/>
      <c r="DAZ47" s="22"/>
      <c r="DBA47" s="22"/>
      <c r="DBB47" s="22"/>
      <c r="DBC47" s="22"/>
      <c r="DBD47" s="22"/>
      <c r="DBE47" s="22"/>
      <c r="DBF47" s="22"/>
      <c r="DBG47" s="22"/>
      <c r="DBH47" s="22"/>
      <c r="DBI47" s="22"/>
      <c r="DBJ47" s="22"/>
      <c r="DBK47" s="22"/>
      <c r="DBL47" s="22"/>
      <c r="DBM47" s="22"/>
      <c r="DBN47" s="22"/>
      <c r="DBO47" s="22"/>
      <c r="DBP47" s="22"/>
      <c r="DBQ47" s="22"/>
      <c r="DBR47" s="22"/>
      <c r="DBS47" s="22"/>
      <c r="DBT47" s="22"/>
      <c r="DBU47" s="22"/>
      <c r="DBV47" s="22"/>
      <c r="DBW47" s="22"/>
      <c r="DBX47" s="22"/>
      <c r="DBY47" s="22"/>
      <c r="DBZ47" s="22"/>
      <c r="DCA47" s="22"/>
      <c r="DCB47" s="22"/>
      <c r="DCC47" s="22"/>
      <c r="DCD47" s="22"/>
      <c r="DCE47" s="22"/>
      <c r="DCF47" s="22"/>
      <c r="DCG47" s="22"/>
      <c r="DCH47" s="22"/>
      <c r="DCI47" s="22"/>
      <c r="DCJ47" s="22"/>
      <c r="DCK47" s="22"/>
      <c r="DCL47" s="22"/>
      <c r="DCM47" s="22"/>
      <c r="DCN47" s="22"/>
      <c r="DCO47" s="22"/>
      <c r="DCP47" s="22"/>
      <c r="DCQ47" s="22"/>
      <c r="DCR47" s="22"/>
      <c r="DCS47" s="22"/>
      <c r="DCT47" s="22"/>
      <c r="DCU47" s="22"/>
      <c r="DCV47" s="22"/>
      <c r="DCW47" s="22"/>
      <c r="DCX47" s="22"/>
      <c r="DCY47" s="22"/>
      <c r="DCZ47" s="22"/>
      <c r="DDA47" s="22"/>
      <c r="DDB47" s="22"/>
      <c r="DDC47" s="22"/>
      <c r="DDD47" s="22"/>
      <c r="DDE47" s="22"/>
      <c r="DDF47" s="22"/>
      <c r="DDG47" s="22"/>
      <c r="DDH47" s="22"/>
      <c r="DDI47" s="22"/>
      <c r="DDJ47" s="22"/>
      <c r="DDK47" s="22"/>
      <c r="DDL47" s="22"/>
      <c r="DDM47" s="22"/>
      <c r="DDN47" s="22"/>
      <c r="DDO47" s="22"/>
      <c r="DDP47" s="22"/>
      <c r="DDQ47" s="22"/>
      <c r="DDR47" s="22"/>
      <c r="DDS47" s="22"/>
      <c r="DDT47" s="22"/>
      <c r="DDU47" s="22"/>
      <c r="DDV47" s="22"/>
      <c r="DDW47" s="22"/>
      <c r="DDX47" s="22"/>
      <c r="DDY47" s="22"/>
      <c r="DDZ47" s="22"/>
      <c r="DEA47" s="22"/>
      <c r="DEB47" s="22"/>
      <c r="DEC47" s="22"/>
      <c r="DED47" s="22"/>
      <c r="DEE47" s="22"/>
      <c r="DEF47" s="22"/>
      <c r="DEG47" s="22"/>
      <c r="DEH47" s="22"/>
      <c r="DEI47" s="22"/>
      <c r="DEJ47" s="22"/>
      <c r="DEK47" s="22"/>
      <c r="DEL47" s="22"/>
      <c r="DEM47" s="22"/>
      <c r="DEN47" s="22"/>
      <c r="DEO47" s="22"/>
      <c r="DEP47" s="22"/>
      <c r="DEQ47" s="22"/>
      <c r="DER47" s="22"/>
      <c r="DES47" s="22"/>
      <c r="DET47" s="22"/>
      <c r="DEU47" s="22"/>
      <c r="DEV47" s="22"/>
      <c r="DEW47" s="22"/>
      <c r="DEX47" s="22"/>
      <c r="DEY47" s="22"/>
      <c r="DEZ47" s="22"/>
      <c r="DFA47" s="22"/>
      <c r="DFB47" s="22"/>
      <c r="DFC47" s="22"/>
      <c r="DFD47" s="22"/>
      <c r="DFE47" s="22"/>
      <c r="DFF47" s="22"/>
      <c r="DFG47" s="22"/>
      <c r="DFH47" s="22"/>
      <c r="DFI47" s="22"/>
      <c r="DFJ47" s="22"/>
      <c r="DFK47" s="22"/>
      <c r="DFL47" s="22"/>
      <c r="DFM47" s="22"/>
      <c r="DFN47" s="22"/>
      <c r="DFO47" s="22"/>
      <c r="DFP47" s="22"/>
      <c r="DFQ47" s="22"/>
      <c r="DFR47" s="22"/>
      <c r="DFS47" s="22"/>
      <c r="DFT47" s="22"/>
      <c r="DFU47" s="22"/>
      <c r="DFV47" s="22"/>
      <c r="DFW47" s="22"/>
      <c r="DFX47" s="22"/>
      <c r="DFY47" s="22"/>
      <c r="DFZ47" s="22"/>
      <c r="DGA47" s="22"/>
      <c r="DGB47" s="22"/>
      <c r="DGC47" s="22"/>
      <c r="DGD47" s="22"/>
      <c r="DGE47" s="22"/>
      <c r="DGF47" s="22"/>
      <c r="DGG47" s="22"/>
      <c r="DGH47" s="22"/>
      <c r="DGI47" s="22"/>
      <c r="DGJ47" s="22"/>
      <c r="DGK47" s="22"/>
      <c r="DGL47" s="22"/>
      <c r="DGM47" s="22"/>
      <c r="DGN47" s="22"/>
      <c r="DGO47" s="22"/>
      <c r="DGP47" s="22"/>
      <c r="DGQ47" s="22"/>
      <c r="DGR47" s="22"/>
      <c r="DGS47" s="22"/>
      <c r="DGT47" s="22"/>
      <c r="DGU47" s="22"/>
      <c r="DGV47" s="22"/>
      <c r="DGW47" s="22"/>
      <c r="DGX47" s="22"/>
      <c r="DGY47" s="22"/>
      <c r="DGZ47" s="22"/>
      <c r="DHA47" s="22"/>
      <c r="DHB47" s="22"/>
      <c r="DHC47" s="22"/>
      <c r="DHD47" s="22"/>
      <c r="DHE47" s="22"/>
      <c r="DHF47" s="22"/>
      <c r="DHG47" s="22"/>
      <c r="DHH47" s="22"/>
      <c r="DHI47" s="22"/>
      <c r="DHJ47" s="22"/>
      <c r="DHK47" s="22"/>
      <c r="DHL47" s="22"/>
      <c r="DHM47" s="22"/>
      <c r="DHN47" s="22"/>
      <c r="DHO47" s="22"/>
      <c r="DHP47" s="22"/>
      <c r="DHQ47" s="22"/>
      <c r="DHR47" s="22"/>
      <c r="DHS47" s="22"/>
      <c r="DHT47" s="22"/>
      <c r="DHU47" s="22"/>
      <c r="DHV47" s="22"/>
      <c r="DHW47" s="22"/>
      <c r="DHX47" s="22"/>
      <c r="DHY47" s="22"/>
      <c r="DHZ47" s="22"/>
      <c r="DIA47" s="22"/>
      <c r="DIB47" s="22"/>
      <c r="DIC47" s="22"/>
      <c r="DID47" s="22"/>
      <c r="DIE47" s="22"/>
      <c r="DIF47" s="22"/>
      <c r="DIG47" s="22"/>
      <c r="DIH47" s="22"/>
      <c r="DII47" s="22"/>
      <c r="DIJ47" s="22"/>
      <c r="DIK47" s="22"/>
      <c r="DIL47" s="22"/>
      <c r="DIM47" s="22"/>
      <c r="DIN47" s="22"/>
      <c r="DIO47" s="22"/>
      <c r="DIP47" s="22"/>
      <c r="DIQ47" s="22"/>
      <c r="DIR47" s="22"/>
      <c r="DIS47" s="22"/>
      <c r="DIT47" s="22"/>
      <c r="DIU47" s="22"/>
      <c r="DIV47" s="22"/>
      <c r="DIW47" s="22"/>
      <c r="DIX47" s="22"/>
      <c r="DIY47" s="22"/>
      <c r="DIZ47" s="22"/>
      <c r="DJA47" s="22"/>
      <c r="DJB47" s="22"/>
      <c r="DJC47" s="22"/>
      <c r="DJD47" s="22"/>
      <c r="DJE47" s="22"/>
      <c r="DJF47" s="22"/>
      <c r="DJG47" s="22"/>
      <c r="DJH47" s="22"/>
      <c r="DJI47" s="22"/>
      <c r="DJJ47" s="22"/>
      <c r="DJK47" s="22"/>
      <c r="DJL47" s="22"/>
      <c r="DJM47" s="22"/>
      <c r="DJN47" s="22"/>
      <c r="DJO47" s="22"/>
      <c r="DJP47" s="22"/>
      <c r="DJQ47" s="22"/>
      <c r="DJR47" s="22"/>
      <c r="DJS47" s="22"/>
      <c r="DJT47" s="22"/>
      <c r="DJU47" s="22"/>
      <c r="DJV47" s="22"/>
      <c r="DJW47" s="22"/>
      <c r="DJX47" s="22"/>
      <c r="DJY47" s="22"/>
      <c r="DJZ47" s="22"/>
      <c r="DKA47" s="22"/>
      <c r="DKB47" s="22"/>
      <c r="DKC47" s="22"/>
      <c r="DKD47" s="22"/>
      <c r="DKE47" s="22"/>
      <c r="DKF47" s="22"/>
      <c r="DKG47" s="22"/>
      <c r="DKH47" s="22"/>
      <c r="DKI47" s="22"/>
      <c r="DKJ47" s="22"/>
      <c r="DKK47" s="22"/>
      <c r="DKL47" s="22"/>
      <c r="DKM47" s="22"/>
      <c r="DKN47" s="22"/>
      <c r="DKO47" s="22"/>
      <c r="DKP47" s="22"/>
      <c r="DKQ47" s="22"/>
      <c r="DKR47" s="22"/>
      <c r="DKS47" s="22"/>
      <c r="DKT47" s="22"/>
      <c r="DKU47" s="22"/>
      <c r="DKV47" s="22"/>
      <c r="DKW47" s="22"/>
      <c r="DKX47" s="22"/>
      <c r="DKY47" s="22"/>
      <c r="DKZ47" s="22"/>
      <c r="DLA47" s="22"/>
      <c r="DLB47" s="22"/>
      <c r="DLC47" s="22"/>
      <c r="DLD47" s="22"/>
      <c r="DLE47" s="22"/>
      <c r="DLF47" s="22"/>
      <c r="DLG47" s="22"/>
      <c r="DLH47" s="22"/>
      <c r="DLI47" s="22"/>
      <c r="DLJ47" s="22"/>
      <c r="DLK47" s="22"/>
      <c r="DLL47" s="22"/>
      <c r="DLM47" s="22"/>
      <c r="DLN47" s="22"/>
      <c r="DLO47" s="22"/>
      <c r="DLP47" s="22"/>
      <c r="DLQ47" s="22"/>
      <c r="DLR47" s="22"/>
      <c r="DLS47" s="22"/>
      <c r="DLT47" s="22"/>
      <c r="DLU47" s="22"/>
      <c r="DLV47" s="22"/>
      <c r="DLW47" s="22"/>
      <c r="DLX47" s="22"/>
      <c r="DLY47" s="22"/>
      <c r="DLZ47" s="22"/>
      <c r="DMA47" s="22"/>
      <c r="DMB47" s="22"/>
      <c r="DMC47" s="22"/>
      <c r="DMD47" s="22"/>
      <c r="DME47" s="22"/>
      <c r="DMF47" s="22"/>
      <c r="DMG47" s="22"/>
      <c r="DMH47" s="22"/>
      <c r="DMI47" s="22"/>
      <c r="DMJ47" s="22"/>
      <c r="DMK47" s="22"/>
      <c r="DML47" s="22"/>
      <c r="DMM47" s="22"/>
      <c r="DMN47" s="22"/>
      <c r="DMO47" s="22"/>
      <c r="DMP47" s="22"/>
      <c r="DMQ47" s="22"/>
      <c r="DMR47" s="22"/>
      <c r="DMS47" s="22"/>
      <c r="DMT47" s="22"/>
      <c r="DMU47" s="22"/>
      <c r="DMV47" s="22"/>
      <c r="DMW47" s="22"/>
      <c r="DMX47" s="22"/>
      <c r="DMY47" s="22"/>
      <c r="DMZ47" s="22"/>
      <c r="DNA47" s="22"/>
      <c r="DNB47" s="22"/>
      <c r="DNC47" s="22"/>
      <c r="DND47" s="22"/>
      <c r="DNE47" s="22"/>
      <c r="DNF47" s="22"/>
      <c r="DNG47" s="22"/>
      <c r="DNH47" s="22"/>
      <c r="DNI47" s="22"/>
      <c r="DNJ47" s="22"/>
      <c r="DNK47" s="22"/>
      <c r="DNL47" s="22"/>
      <c r="DNM47" s="22"/>
      <c r="DNN47" s="22"/>
      <c r="DNO47" s="22"/>
      <c r="DNP47" s="22"/>
      <c r="DNQ47" s="22"/>
      <c r="DNR47" s="22"/>
      <c r="DNS47" s="22"/>
      <c r="DNT47" s="22"/>
      <c r="DNU47" s="22"/>
      <c r="DNV47" s="22"/>
      <c r="DNW47" s="22"/>
      <c r="DNX47" s="22"/>
      <c r="DNY47" s="22"/>
      <c r="DNZ47" s="22"/>
      <c r="DOA47" s="22"/>
      <c r="DOB47" s="22"/>
      <c r="DOC47" s="22"/>
      <c r="DOD47" s="22"/>
      <c r="DOE47" s="22"/>
      <c r="DOF47" s="22"/>
      <c r="DOG47" s="22"/>
      <c r="DOH47" s="22"/>
      <c r="DOI47" s="22"/>
      <c r="DOJ47" s="22"/>
      <c r="DOK47" s="22"/>
      <c r="DOL47" s="22"/>
      <c r="DOM47" s="22"/>
      <c r="DON47" s="22"/>
      <c r="DOO47" s="22"/>
      <c r="DOP47" s="22"/>
      <c r="DOQ47" s="22"/>
      <c r="DOR47" s="22"/>
      <c r="DOS47" s="22"/>
      <c r="DOT47" s="22"/>
      <c r="DOU47" s="22"/>
      <c r="DOV47" s="22"/>
      <c r="DOW47" s="22"/>
      <c r="DOX47" s="22"/>
      <c r="DOY47" s="22"/>
      <c r="DOZ47" s="22"/>
      <c r="DPA47" s="22"/>
      <c r="DPB47" s="22"/>
      <c r="DPC47" s="22"/>
      <c r="DPD47" s="22"/>
      <c r="DPE47" s="22"/>
      <c r="DPF47" s="22"/>
      <c r="DPG47" s="22"/>
      <c r="DPH47" s="22"/>
      <c r="DPI47" s="22"/>
      <c r="DPJ47" s="22"/>
      <c r="DPK47" s="22"/>
      <c r="DPL47" s="22"/>
      <c r="DPM47" s="22"/>
      <c r="DPN47" s="22"/>
      <c r="DPO47" s="22"/>
      <c r="DPP47" s="22"/>
      <c r="DPQ47" s="22"/>
      <c r="DPR47" s="22"/>
      <c r="DPS47" s="22"/>
      <c r="DPT47" s="22"/>
      <c r="DPU47" s="22"/>
      <c r="DPV47" s="22"/>
      <c r="DPW47" s="22"/>
      <c r="DPX47" s="22"/>
      <c r="DPY47" s="22"/>
      <c r="DPZ47" s="22"/>
      <c r="DQA47" s="22"/>
      <c r="DQB47" s="22"/>
      <c r="DQC47" s="22"/>
      <c r="DQD47" s="22"/>
      <c r="DQE47" s="22"/>
      <c r="DQF47" s="22"/>
      <c r="DQG47" s="22"/>
      <c r="DQH47" s="22"/>
      <c r="DQI47" s="22"/>
      <c r="DQJ47" s="22"/>
      <c r="DQK47" s="22"/>
      <c r="DQL47" s="22"/>
      <c r="DQM47" s="22"/>
      <c r="DQN47" s="22"/>
      <c r="DQO47" s="22"/>
      <c r="DQP47" s="22"/>
      <c r="DQQ47" s="22"/>
      <c r="DQR47" s="22"/>
      <c r="DQS47" s="22"/>
      <c r="DQT47" s="22"/>
      <c r="DQU47" s="22"/>
      <c r="DQV47" s="22"/>
      <c r="DQW47" s="22"/>
      <c r="DQX47" s="22"/>
      <c r="DQY47" s="22"/>
      <c r="DQZ47" s="22"/>
      <c r="DRA47" s="22"/>
      <c r="DRB47" s="22"/>
      <c r="DRC47" s="22"/>
      <c r="DRD47" s="22"/>
      <c r="DRE47" s="22"/>
      <c r="DRF47" s="22"/>
      <c r="DRG47" s="22"/>
      <c r="DRH47" s="22"/>
      <c r="DRI47" s="22"/>
      <c r="DRJ47" s="22"/>
      <c r="DRK47" s="22"/>
      <c r="DRL47" s="22"/>
      <c r="DRM47" s="22"/>
      <c r="DRN47" s="22"/>
      <c r="DRO47" s="22"/>
      <c r="DRP47" s="22"/>
      <c r="DRQ47" s="22"/>
      <c r="DRR47" s="22"/>
      <c r="DRS47" s="22"/>
      <c r="DRT47" s="22"/>
      <c r="DRU47" s="22"/>
      <c r="DRV47" s="22"/>
      <c r="DRW47" s="22"/>
      <c r="DRX47" s="22"/>
      <c r="DRY47" s="22"/>
      <c r="DRZ47" s="22"/>
      <c r="DSA47" s="22"/>
      <c r="DSB47" s="22"/>
      <c r="DSC47" s="22"/>
      <c r="DSD47" s="22"/>
      <c r="DSE47" s="22"/>
      <c r="DSF47" s="22"/>
      <c r="DSG47" s="22"/>
      <c r="DSH47" s="22"/>
      <c r="DSI47" s="22"/>
      <c r="DSJ47" s="22"/>
      <c r="DSK47" s="22"/>
      <c r="DSL47" s="22"/>
      <c r="DSM47" s="22"/>
      <c r="DSN47" s="22"/>
      <c r="DSO47" s="22"/>
      <c r="DSP47" s="22"/>
      <c r="DSQ47" s="22"/>
      <c r="DSR47" s="22"/>
      <c r="DSS47" s="22"/>
      <c r="DST47" s="22"/>
      <c r="DSU47" s="22"/>
      <c r="DSV47" s="22"/>
      <c r="DSW47" s="22"/>
      <c r="DSX47" s="22"/>
      <c r="DSY47" s="22"/>
      <c r="DSZ47" s="22"/>
      <c r="DTA47" s="22"/>
      <c r="DTB47" s="22"/>
      <c r="DTC47" s="22"/>
      <c r="DTD47" s="22"/>
      <c r="DTE47" s="22"/>
      <c r="DTF47" s="22"/>
      <c r="DTG47" s="22"/>
      <c r="DTH47" s="22"/>
      <c r="DTI47" s="22"/>
      <c r="DTJ47" s="22"/>
      <c r="DTK47" s="22"/>
      <c r="DTL47" s="22"/>
      <c r="DTM47" s="22"/>
      <c r="DTN47" s="22"/>
      <c r="DTO47" s="22"/>
      <c r="DTP47" s="22"/>
      <c r="DTQ47" s="22"/>
      <c r="DTR47" s="22"/>
      <c r="DTS47" s="22"/>
      <c r="DTT47" s="22"/>
      <c r="DTU47" s="22"/>
      <c r="DTV47" s="22"/>
      <c r="DTW47" s="22"/>
      <c r="DTX47" s="22"/>
      <c r="DTY47" s="22"/>
      <c r="DTZ47" s="22"/>
      <c r="DUA47" s="22"/>
      <c r="DUB47" s="22"/>
      <c r="DUC47" s="22"/>
      <c r="DUD47" s="22"/>
      <c r="DUE47" s="22"/>
      <c r="DUF47" s="22"/>
      <c r="DUG47" s="22"/>
      <c r="DUH47" s="22"/>
      <c r="DUI47" s="22"/>
      <c r="DUJ47" s="22"/>
      <c r="DUK47" s="22"/>
      <c r="DUL47" s="22"/>
      <c r="DUM47" s="22"/>
      <c r="DUN47" s="22"/>
      <c r="DUO47" s="22"/>
      <c r="DUP47" s="22"/>
      <c r="DUQ47" s="22"/>
      <c r="DUR47" s="22"/>
      <c r="DUS47" s="22"/>
      <c r="DUT47" s="22"/>
      <c r="DUU47" s="22"/>
      <c r="DUV47" s="22"/>
      <c r="DUW47" s="22"/>
      <c r="DUX47" s="22"/>
      <c r="DUY47" s="22"/>
      <c r="DUZ47" s="22"/>
      <c r="DVA47" s="22"/>
      <c r="DVB47" s="22"/>
      <c r="DVC47" s="22"/>
      <c r="DVD47" s="22"/>
      <c r="DVE47" s="22"/>
      <c r="DVF47" s="22"/>
      <c r="DVG47" s="22"/>
      <c r="DVH47" s="22"/>
      <c r="DVI47" s="22"/>
      <c r="DVJ47" s="22"/>
      <c r="DVK47" s="22"/>
      <c r="DVL47" s="22"/>
      <c r="DVM47" s="22"/>
      <c r="DVN47" s="22"/>
      <c r="DVO47" s="22"/>
      <c r="DVP47" s="22"/>
      <c r="DVQ47" s="22"/>
      <c r="DVR47" s="22"/>
      <c r="DVS47" s="22"/>
      <c r="DVT47" s="22"/>
      <c r="DVU47" s="22"/>
      <c r="DVV47" s="22"/>
      <c r="DVW47" s="22"/>
      <c r="DVX47" s="22"/>
      <c r="DVY47" s="22"/>
      <c r="DVZ47" s="22"/>
      <c r="DWA47" s="22"/>
      <c r="DWB47" s="22"/>
      <c r="DWC47" s="22"/>
      <c r="DWD47" s="22"/>
      <c r="DWE47" s="22"/>
      <c r="DWF47" s="22"/>
      <c r="DWG47" s="22"/>
      <c r="DWH47" s="22"/>
      <c r="DWI47" s="22"/>
      <c r="DWJ47" s="22"/>
      <c r="DWK47" s="22"/>
      <c r="DWL47" s="22"/>
      <c r="DWM47" s="22"/>
      <c r="DWN47" s="22"/>
      <c r="DWO47" s="22"/>
      <c r="DWP47" s="22"/>
      <c r="DWQ47" s="22"/>
      <c r="DWR47" s="22"/>
      <c r="DWS47" s="22"/>
      <c r="DWT47" s="22"/>
      <c r="DWU47" s="22"/>
      <c r="DWV47" s="22"/>
      <c r="DWW47" s="22"/>
      <c r="DWX47" s="22"/>
      <c r="DWY47" s="22"/>
      <c r="DWZ47" s="22"/>
      <c r="DXA47" s="22"/>
      <c r="DXB47" s="22"/>
      <c r="DXC47" s="22"/>
      <c r="DXD47" s="22"/>
      <c r="DXE47" s="22"/>
      <c r="DXF47" s="22"/>
      <c r="DXG47" s="22"/>
      <c r="DXH47" s="22"/>
      <c r="DXI47" s="22"/>
      <c r="DXJ47" s="22"/>
      <c r="DXK47" s="22"/>
      <c r="DXL47" s="22"/>
      <c r="DXM47" s="22"/>
      <c r="DXN47" s="22"/>
      <c r="DXO47" s="22"/>
      <c r="DXP47" s="22"/>
      <c r="DXQ47" s="22"/>
      <c r="DXR47" s="22"/>
      <c r="DXS47" s="22"/>
      <c r="DXT47" s="22"/>
      <c r="DXU47" s="22"/>
      <c r="DXV47" s="22"/>
      <c r="DXW47" s="22"/>
      <c r="DXX47" s="22"/>
      <c r="DXY47" s="22"/>
      <c r="DXZ47" s="22"/>
      <c r="DYA47" s="22"/>
      <c r="DYB47" s="22"/>
      <c r="DYC47" s="22"/>
      <c r="DYD47" s="22"/>
      <c r="DYE47" s="22"/>
      <c r="DYF47" s="22"/>
      <c r="DYG47" s="22"/>
      <c r="DYH47" s="22"/>
      <c r="DYI47" s="22"/>
      <c r="DYJ47" s="22"/>
      <c r="DYK47" s="22"/>
      <c r="DYL47" s="22"/>
      <c r="DYM47" s="22"/>
      <c r="DYN47" s="22"/>
      <c r="DYO47" s="22"/>
      <c r="DYP47" s="22"/>
      <c r="DYQ47" s="22"/>
      <c r="DYR47" s="22"/>
      <c r="DYS47" s="22"/>
      <c r="DYT47" s="22"/>
      <c r="DYU47" s="22"/>
      <c r="DYV47" s="22"/>
      <c r="DYW47" s="22"/>
      <c r="DYX47" s="22"/>
      <c r="DYY47" s="22"/>
      <c r="DYZ47" s="22"/>
      <c r="DZA47" s="22"/>
      <c r="DZB47" s="22"/>
      <c r="DZC47" s="22"/>
      <c r="DZD47" s="22"/>
      <c r="DZE47" s="22"/>
      <c r="DZF47" s="22"/>
      <c r="DZG47" s="22"/>
      <c r="DZH47" s="22"/>
      <c r="DZI47" s="22"/>
      <c r="DZJ47" s="22"/>
      <c r="DZK47" s="22"/>
      <c r="DZL47" s="22"/>
      <c r="DZM47" s="22"/>
      <c r="DZN47" s="22"/>
      <c r="DZO47" s="22"/>
      <c r="DZP47" s="22"/>
      <c r="DZQ47" s="22"/>
      <c r="DZR47" s="22"/>
      <c r="DZS47" s="22"/>
      <c r="DZT47" s="22"/>
      <c r="DZU47" s="22"/>
      <c r="DZV47" s="22"/>
      <c r="DZW47" s="22"/>
      <c r="DZX47" s="22"/>
      <c r="DZY47" s="22"/>
      <c r="DZZ47" s="22"/>
      <c r="EAA47" s="22"/>
      <c r="EAB47" s="22"/>
      <c r="EAC47" s="22"/>
      <c r="EAD47" s="22"/>
      <c r="EAE47" s="22"/>
      <c r="EAF47" s="22"/>
      <c r="EAG47" s="22"/>
      <c r="EAH47" s="22"/>
      <c r="EAI47" s="22"/>
      <c r="EAJ47" s="22"/>
      <c r="EAK47" s="22"/>
      <c r="EAL47" s="22"/>
      <c r="EAM47" s="22"/>
      <c r="EAN47" s="22"/>
      <c r="EAO47" s="22"/>
      <c r="EAP47" s="22"/>
      <c r="EAQ47" s="22"/>
      <c r="EAR47" s="22"/>
      <c r="EAS47" s="22"/>
      <c r="EAT47" s="22"/>
      <c r="EAU47" s="22"/>
      <c r="EAV47" s="22"/>
      <c r="EAW47" s="22"/>
      <c r="EAX47" s="22"/>
      <c r="EAY47" s="22"/>
      <c r="EAZ47" s="22"/>
      <c r="EBA47" s="22"/>
      <c r="EBB47" s="22"/>
      <c r="EBC47" s="22"/>
      <c r="EBD47" s="22"/>
      <c r="EBE47" s="22"/>
      <c r="EBF47" s="22"/>
      <c r="EBG47" s="22"/>
      <c r="EBH47" s="22"/>
      <c r="EBI47" s="22"/>
      <c r="EBJ47" s="22"/>
      <c r="EBK47" s="22"/>
      <c r="EBL47" s="22"/>
      <c r="EBM47" s="22"/>
      <c r="EBN47" s="22"/>
      <c r="EBO47" s="22"/>
      <c r="EBP47" s="22"/>
      <c r="EBQ47" s="22"/>
      <c r="EBR47" s="22"/>
      <c r="EBS47" s="22"/>
      <c r="EBT47" s="22"/>
      <c r="EBU47" s="22"/>
      <c r="EBV47" s="22"/>
      <c r="EBW47" s="22"/>
      <c r="EBX47" s="22"/>
      <c r="EBY47" s="22"/>
      <c r="EBZ47" s="22"/>
      <c r="ECA47" s="22"/>
      <c r="ECB47" s="22"/>
      <c r="ECC47" s="22"/>
      <c r="ECD47" s="22"/>
      <c r="ECE47" s="22"/>
      <c r="ECF47" s="22"/>
      <c r="ECG47" s="22"/>
      <c r="ECH47" s="22"/>
      <c r="ECI47" s="22"/>
      <c r="ECJ47" s="22"/>
      <c r="ECK47" s="22"/>
      <c r="ECL47" s="22"/>
      <c r="ECM47" s="22"/>
      <c r="ECN47" s="22"/>
      <c r="ECO47" s="22"/>
      <c r="ECP47" s="22"/>
      <c r="ECQ47" s="22"/>
      <c r="ECR47" s="22"/>
      <c r="ECS47" s="22"/>
      <c r="ECT47" s="22"/>
      <c r="ECU47" s="22"/>
      <c r="ECV47" s="22"/>
      <c r="ECW47" s="22"/>
      <c r="ECX47" s="22"/>
      <c r="ECY47" s="22"/>
      <c r="ECZ47" s="22"/>
      <c r="EDA47" s="22"/>
      <c r="EDB47" s="22"/>
      <c r="EDC47" s="22"/>
      <c r="EDD47" s="22"/>
      <c r="EDE47" s="22"/>
      <c r="EDF47" s="22"/>
      <c r="EDG47" s="22"/>
      <c r="EDH47" s="22"/>
      <c r="EDI47" s="22"/>
      <c r="EDJ47" s="22"/>
      <c r="EDK47" s="22"/>
      <c r="EDL47" s="22"/>
      <c r="EDM47" s="22"/>
      <c r="EDN47" s="22"/>
      <c r="EDO47" s="22"/>
      <c r="EDP47" s="22"/>
      <c r="EDQ47" s="22"/>
      <c r="EDR47" s="22"/>
      <c r="EDS47" s="22"/>
      <c r="EDT47" s="22"/>
      <c r="EDU47" s="22"/>
      <c r="EDV47" s="22"/>
      <c r="EDW47" s="22"/>
      <c r="EDX47" s="22"/>
      <c r="EDY47" s="22"/>
      <c r="EDZ47" s="22"/>
      <c r="EEA47" s="22"/>
      <c r="EEB47" s="22"/>
      <c r="EEC47" s="22"/>
      <c r="EED47" s="22"/>
      <c r="EEE47" s="22"/>
      <c r="EEF47" s="22"/>
      <c r="EEG47" s="22"/>
      <c r="EEH47" s="22"/>
      <c r="EEI47" s="22"/>
      <c r="EEJ47" s="22"/>
      <c r="EEK47" s="22"/>
      <c r="EEL47" s="22"/>
      <c r="EEM47" s="22"/>
      <c r="EEN47" s="22"/>
      <c r="EEO47" s="22"/>
      <c r="EEP47" s="22"/>
      <c r="EEQ47" s="22"/>
      <c r="EER47" s="22"/>
      <c r="EES47" s="22"/>
      <c r="EET47" s="22"/>
      <c r="EEU47" s="22"/>
      <c r="EEV47" s="22"/>
      <c r="EEW47" s="22"/>
      <c r="EEX47" s="22"/>
      <c r="EEY47" s="22"/>
      <c r="EEZ47" s="22"/>
      <c r="EFA47" s="22"/>
      <c r="EFB47" s="22"/>
      <c r="EFC47" s="22"/>
      <c r="EFD47" s="22"/>
      <c r="EFE47" s="22"/>
      <c r="EFF47" s="22"/>
      <c r="EFG47" s="22"/>
      <c r="EFH47" s="22"/>
      <c r="EFI47" s="22"/>
      <c r="EFJ47" s="22"/>
      <c r="EFK47" s="22"/>
      <c r="EFL47" s="22"/>
      <c r="EFM47" s="22"/>
      <c r="EFN47" s="22"/>
      <c r="EFO47" s="22"/>
      <c r="EFP47" s="22"/>
      <c r="EFQ47" s="22"/>
      <c r="EFR47" s="22"/>
      <c r="EFS47" s="22"/>
      <c r="EFT47" s="22"/>
      <c r="EFU47" s="22"/>
      <c r="EFV47" s="22"/>
      <c r="EFW47" s="22"/>
      <c r="EFX47" s="22"/>
      <c r="EFY47" s="22"/>
      <c r="EFZ47" s="22"/>
      <c r="EGA47" s="22"/>
      <c r="EGB47" s="22"/>
      <c r="EGC47" s="22"/>
      <c r="EGD47" s="22"/>
      <c r="EGE47" s="22"/>
      <c r="EGF47" s="22"/>
      <c r="EGG47" s="22"/>
      <c r="EGH47" s="22"/>
      <c r="EGI47" s="22"/>
      <c r="EGJ47" s="22"/>
      <c r="EGK47" s="22"/>
      <c r="EGL47" s="22"/>
      <c r="EGM47" s="22"/>
      <c r="EGN47" s="22"/>
      <c r="EGO47" s="22"/>
      <c r="EGP47" s="22"/>
      <c r="EGQ47" s="22"/>
      <c r="EGR47" s="22"/>
      <c r="EGS47" s="22"/>
      <c r="EGT47" s="22"/>
      <c r="EGU47" s="22"/>
      <c r="EGV47" s="22"/>
      <c r="EGW47" s="22"/>
      <c r="EGX47" s="22"/>
      <c r="EGY47" s="22"/>
      <c r="EGZ47" s="22"/>
      <c r="EHA47" s="22"/>
      <c r="EHB47" s="22"/>
      <c r="EHC47" s="22"/>
      <c r="EHD47" s="22"/>
      <c r="EHE47" s="22"/>
      <c r="EHF47" s="22"/>
      <c r="EHG47" s="22"/>
      <c r="EHH47" s="22"/>
      <c r="EHI47" s="22"/>
      <c r="EHJ47" s="22"/>
      <c r="EHK47" s="22"/>
      <c r="EHL47" s="22"/>
      <c r="EHM47" s="22"/>
      <c r="EHN47" s="22"/>
      <c r="EHO47" s="22"/>
      <c r="EHP47" s="22"/>
      <c r="EHQ47" s="22"/>
      <c r="EHR47" s="22"/>
      <c r="EHS47" s="22"/>
      <c r="EHT47" s="22"/>
      <c r="EHU47" s="22"/>
      <c r="EHV47" s="22"/>
      <c r="EHW47" s="22"/>
      <c r="EHX47" s="22"/>
      <c r="EHY47" s="22"/>
      <c r="EHZ47" s="22"/>
      <c r="EIA47" s="22"/>
      <c r="EIB47" s="22"/>
      <c r="EIC47" s="22"/>
      <c r="EID47" s="22"/>
      <c r="EIE47" s="22"/>
      <c r="EIF47" s="22"/>
      <c r="EIG47" s="22"/>
      <c r="EIH47" s="22"/>
      <c r="EII47" s="22"/>
      <c r="EIJ47" s="22"/>
      <c r="EIK47" s="22"/>
      <c r="EIL47" s="22"/>
      <c r="EIM47" s="22"/>
      <c r="EIN47" s="22"/>
      <c r="EIO47" s="22"/>
      <c r="EIP47" s="22"/>
      <c r="EIQ47" s="22"/>
      <c r="EIR47" s="22"/>
      <c r="EIS47" s="22"/>
      <c r="EIT47" s="22"/>
      <c r="EIU47" s="22"/>
      <c r="EIV47" s="22"/>
      <c r="EIW47" s="22"/>
      <c r="EIX47" s="22"/>
      <c r="EIY47" s="22"/>
      <c r="EIZ47" s="22"/>
      <c r="EJA47" s="22"/>
      <c r="EJB47" s="22"/>
      <c r="EJC47" s="22"/>
      <c r="EJD47" s="22"/>
      <c r="EJE47" s="22"/>
      <c r="EJF47" s="22"/>
      <c r="EJG47" s="22"/>
      <c r="EJH47" s="22"/>
      <c r="EJI47" s="22"/>
      <c r="EJJ47" s="22"/>
      <c r="EJK47" s="22"/>
      <c r="EJL47" s="22"/>
      <c r="EJM47" s="22"/>
      <c r="EJN47" s="22"/>
      <c r="EJO47" s="22"/>
      <c r="EJP47" s="22"/>
      <c r="EJQ47" s="22"/>
      <c r="EJR47" s="22"/>
      <c r="EJS47" s="22"/>
      <c r="EJT47" s="22"/>
      <c r="EJU47" s="22"/>
      <c r="EJV47" s="22"/>
      <c r="EJW47" s="22"/>
      <c r="EJX47" s="22"/>
      <c r="EJY47" s="22"/>
      <c r="EJZ47" s="22"/>
      <c r="EKA47" s="22"/>
      <c r="EKB47" s="22"/>
      <c r="EKC47" s="22"/>
      <c r="EKD47" s="22"/>
      <c r="EKE47" s="22"/>
      <c r="EKF47" s="22"/>
      <c r="EKG47" s="22"/>
      <c r="EKH47" s="22"/>
      <c r="EKI47" s="22"/>
      <c r="EKJ47" s="22"/>
      <c r="EKK47" s="22"/>
      <c r="EKL47" s="22"/>
      <c r="EKM47" s="22"/>
      <c r="EKN47" s="22"/>
      <c r="EKO47" s="22"/>
      <c r="EKP47" s="22"/>
      <c r="EKQ47" s="22"/>
      <c r="EKR47" s="22"/>
      <c r="EKS47" s="22"/>
      <c r="EKT47" s="22"/>
      <c r="EKU47" s="22"/>
      <c r="EKV47" s="22"/>
      <c r="EKW47" s="22"/>
      <c r="EKX47" s="22"/>
      <c r="EKY47" s="22"/>
      <c r="EKZ47" s="22"/>
      <c r="ELA47" s="22"/>
      <c r="ELB47" s="22"/>
      <c r="ELC47" s="22"/>
      <c r="ELD47" s="22"/>
      <c r="ELE47" s="22"/>
      <c r="ELF47" s="22"/>
      <c r="ELG47" s="22"/>
      <c r="ELH47" s="22"/>
      <c r="ELI47" s="22"/>
      <c r="ELJ47" s="22"/>
      <c r="ELK47" s="22"/>
      <c r="ELL47" s="22"/>
      <c r="ELM47" s="22"/>
      <c r="ELN47" s="22"/>
      <c r="ELO47" s="22"/>
      <c r="ELP47" s="22"/>
      <c r="ELQ47" s="22"/>
      <c r="ELR47" s="22"/>
      <c r="ELS47" s="22"/>
      <c r="ELT47" s="22"/>
      <c r="ELU47" s="22"/>
      <c r="ELV47" s="22"/>
      <c r="ELW47" s="22"/>
      <c r="ELX47" s="22"/>
      <c r="ELY47" s="22"/>
      <c r="ELZ47" s="22"/>
      <c r="EMA47" s="22"/>
      <c r="EMB47" s="22"/>
      <c r="EMC47" s="22"/>
      <c r="EMD47" s="22"/>
      <c r="EME47" s="22"/>
      <c r="EMF47" s="22"/>
      <c r="EMG47" s="22"/>
      <c r="EMH47" s="22"/>
      <c r="EMI47" s="22"/>
      <c r="EMJ47" s="22"/>
      <c r="EMK47" s="22"/>
      <c r="EML47" s="22"/>
      <c r="EMM47" s="22"/>
      <c r="EMN47" s="22"/>
      <c r="EMO47" s="22"/>
      <c r="EMP47" s="22"/>
      <c r="EMQ47" s="22"/>
      <c r="EMR47" s="22"/>
      <c r="EMS47" s="22"/>
      <c r="EMT47" s="22"/>
      <c r="EMU47" s="22"/>
      <c r="EMV47" s="22"/>
      <c r="EMW47" s="22"/>
      <c r="EMX47" s="22"/>
      <c r="EMY47" s="22"/>
      <c r="EMZ47" s="22"/>
      <c r="ENA47" s="22"/>
      <c r="ENB47" s="22"/>
      <c r="ENC47" s="22"/>
      <c r="END47" s="22"/>
      <c r="ENE47" s="22"/>
      <c r="ENF47" s="22"/>
      <c r="ENG47" s="22"/>
      <c r="ENH47" s="22"/>
      <c r="ENI47" s="22"/>
      <c r="ENJ47" s="22"/>
      <c r="ENK47" s="22"/>
      <c r="ENL47" s="22"/>
      <c r="ENM47" s="22"/>
      <c r="ENN47" s="22"/>
      <c r="ENO47" s="22"/>
      <c r="ENP47" s="22"/>
      <c r="ENQ47" s="22"/>
      <c r="ENR47" s="22"/>
      <c r="ENS47" s="22"/>
      <c r="ENT47" s="22"/>
      <c r="ENU47" s="22"/>
      <c r="ENV47" s="22"/>
      <c r="ENW47" s="22"/>
      <c r="ENX47" s="22"/>
      <c r="ENY47" s="22"/>
      <c r="ENZ47" s="22"/>
      <c r="EOA47" s="22"/>
      <c r="EOB47" s="22"/>
      <c r="EOC47" s="22"/>
      <c r="EOD47" s="22"/>
      <c r="EOE47" s="22"/>
      <c r="EOF47" s="22"/>
      <c r="EOG47" s="22"/>
      <c r="EOH47" s="22"/>
      <c r="EOI47" s="22"/>
      <c r="EOJ47" s="22"/>
      <c r="EOK47" s="22"/>
      <c r="EOL47" s="22"/>
      <c r="EOM47" s="22"/>
      <c r="EON47" s="22"/>
      <c r="EOO47" s="22"/>
      <c r="EOP47" s="22"/>
      <c r="EOQ47" s="22"/>
      <c r="EOR47" s="22"/>
      <c r="EOS47" s="22"/>
      <c r="EOT47" s="22"/>
      <c r="EOU47" s="22"/>
      <c r="EOV47" s="22"/>
      <c r="EOW47" s="22"/>
      <c r="EOX47" s="22"/>
      <c r="EOY47" s="22"/>
      <c r="EOZ47" s="22"/>
      <c r="EPA47" s="22"/>
      <c r="EPB47" s="22"/>
      <c r="EPC47" s="22"/>
      <c r="EPD47" s="22"/>
      <c r="EPE47" s="22"/>
      <c r="EPF47" s="22"/>
      <c r="EPG47" s="22"/>
      <c r="EPH47" s="22"/>
      <c r="EPI47" s="22"/>
      <c r="EPJ47" s="22"/>
      <c r="EPK47" s="22"/>
      <c r="EPL47" s="22"/>
      <c r="EPM47" s="22"/>
      <c r="EPN47" s="22"/>
      <c r="EPO47" s="22"/>
      <c r="EPP47" s="22"/>
      <c r="EPQ47" s="22"/>
      <c r="EPR47" s="22"/>
      <c r="EPS47" s="22"/>
      <c r="EPT47" s="22"/>
      <c r="EPU47" s="22"/>
      <c r="EPV47" s="22"/>
      <c r="EPW47" s="22"/>
      <c r="EPX47" s="22"/>
      <c r="EPY47" s="22"/>
      <c r="EPZ47" s="22"/>
      <c r="EQA47" s="22"/>
      <c r="EQB47" s="22"/>
      <c r="EQC47" s="22"/>
      <c r="EQD47" s="22"/>
      <c r="EQE47" s="22"/>
      <c r="EQF47" s="22"/>
      <c r="EQG47" s="22"/>
      <c r="EQH47" s="22"/>
      <c r="EQI47" s="22"/>
      <c r="EQJ47" s="22"/>
      <c r="EQK47" s="22"/>
      <c r="EQL47" s="22"/>
      <c r="EQM47" s="22"/>
      <c r="EQN47" s="22"/>
      <c r="EQO47" s="22"/>
      <c r="EQP47" s="22"/>
      <c r="EQQ47" s="22"/>
      <c r="EQR47" s="22"/>
      <c r="EQS47" s="22"/>
      <c r="EQT47" s="22"/>
      <c r="EQU47" s="22"/>
      <c r="EQV47" s="22"/>
      <c r="EQW47" s="22"/>
      <c r="EQX47" s="22"/>
      <c r="EQY47" s="22"/>
      <c r="EQZ47" s="22"/>
      <c r="ERA47" s="22"/>
      <c r="ERB47" s="22"/>
      <c r="ERC47" s="22"/>
      <c r="ERD47" s="22"/>
      <c r="ERE47" s="22"/>
      <c r="ERF47" s="22"/>
      <c r="ERG47" s="22"/>
      <c r="ERH47" s="22"/>
      <c r="ERI47" s="22"/>
      <c r="ERJ47" s="22"/>
      <c r="ERK47" s="22"/>
      <c r="ERL47" s="22"/>
      <c r="ERM47" s="22"/>
      <c r="ERN47" s="22"/>
      <c r="ERO47" s="22"/>
      <c r="ERP47" s="22"/>
      <c r="ERQ47" s="22"/>
      <c r="ERR47" s="22"/>
      <c r="ERS47" s="22"/>
      <c r="ERT47" s="22"/>
      <c r="ERU47" s="22"/>
      <c r="ERV47" s="22"/>
      <c r="ERW47" s="22"/>
      <c r="ERX47" s="22"/>
      <c r="ERY47" s="22"/>
      <c r="ERZ47" s="22"/>
      <c r="ESA47" s="22"/>
      <c r="ESB47" s="22"/>
      <c r="ESC47" s="22"/>
      <c r="ESD47" s="22"/>
      <c r="ESE47" s="22"/>
      <c r="ESF47" s="22"/>
      <c r="ESG47" s="22"/>
      <c r="ESH47" s="22"/>
      <c r="ESI47" s="22"/>
      <c r="ESJ47" s="22"/>
      <c r="ESK47" s="22"/>
      <c r="ESL47" s="22"/>
      <c r="ESM47" s="22"/>
      <c r="ESN47" s="22"/>
      <c r="ESO47" s="22"/>
      <c r="ESP47" s="22"/>
      <c r="ESQ47" s="22"/>
      <c r="ESR47" s="22"/>
      <c r="ESS47" s="22"/>
      <c r="EST47" s="22"/>
      <c r="ESU47" s="22"/>
      <c r="ESV47" s="22"/>
      <c r="ESW47" s="22"/>
      <c r="ESX47" s="22"/>
      <c r="ESY47" s="22"/>
      <c r="ESZ47" s="22"/>
      <c r="ETA47" s="22"/>
      <c r="ETB47" s="22"/>
      <c r="ETC47" s="22"/>
      <c r="ETD47" s="22"/>
      <c r="ETE47" s="22"/>
      <c r="ETF47" s="22"/>
      <c r="ETG47" s="22"/>
      <c r="ETH47" s="22"/>
      <c r="ETI47" s="22"/>
      <c r="ETJ47" s="22"/>
      <c r="ETK47" s="22"/>
      <c r="ETL47" s="22"/>
      <c r="ETM47" s="22"/>
      <c r="ETN47" s="22"/>
      <c r="ETO47" s="22"/>
      <c r="ETP47" s="22"/>
      <c r="ETQ47" s="22"/>
      <c r="ETR47" s="22"/>
      <c r="ETS47" s="22"/>
      <c r="ETT47" s="22"/>
      <c r="ETU47" s="22"/>
      <c r="ETV47" s="22"/>
      <c r="ETW47" s="22"/>
      <c r="ETX47" s="22"/>
      <c r="ETY47" s="22"/>
      <c r="ETZ47" s="22"/>
      <c r="EUA47" s="22"/>
      <c r="EUB47" s="22"/>
      <c r="EUC47" s="22"/>
      <c r="EUD47" s="22"/>
      <c r="EUE47" s="22"/>
      <c r="EUF47" s="22"/>
      <c r="EUG47" s="22"/>
      <c r="EUH47" s="22"/>
      <c r="EUI47" s="22"/>
      <c r="EUJ47" s="22"/>
      <c r="EUK47" s="22"/>
      <c r="EUL47" s="22"/>
      <c r="EUM47" s="22"/>
      <c r="EUN47" s="22"/>
      <c r="EUO47" s="22"/>
      <c r="EUP47" s="22"/>
      <c r="EUQ47" s="22"/>
      <c r="EUR47" s="22"/>
      <c r="EUS47" s="22"/>
      <c r="EUT47" s="22"/>
      <c r="EUU47" s="22"/>
      <c r="EUV47" s="22"/>
      <c r="EUW47" s="22"/>
      <c r="EUX47" s="22"/>
      <c r="EUY47" s="22"/>
      <c r="EUZ47" s="22"/>
      <c r="EVA47" s="22"/>
      <c r="EVB47" s="22"/>
      <c r="EVC47" s="22"/>
      <c r="EVD47" s="22"/>
      <c r="EVE47" s="22"/>
      <c r="EVF47" s="22"/>
      <c r="EVG47" s="22"/>
      <c r="EVH47" s="22"/>
      <c r="EVI47" s="22"/>
      <c r="EVJ47" s="22"/>
      <c r="EVK47" s="22"/>
      <c r="EVL47" s="22"/>
      <c r="EVM47" s="22"/>
      <c r="EVN47" s="22"/>
      <c r="EVO47" s="22"/>
      <c r="EVP47" s="22"/>
      <c r="EVQ47" s="22"/>
      <c r="EVR47" s="22"/>
      <c r="EVS47" s="22"/>
      <c r="EVT47" s="22"/>
      <c r="EVU47" s="22"/>
      <c r="EVV47" s="22"/>
      <c r="EVW47" s="22"/>
      <c r="EVX47" s="22"/>
      <c r="EVY47" s="22"/>
      <c r="EVZ47" s="22"/>
      <c r="EWA47" s="22"/>
      <c r="EWB47" s="22"/>
      <c r="EWC47" s="22"/>
      <c r="EWD47" s="22"/>
      <c r="EWE47" s="22"/>
      <c r="EWF47" s="22"/>
      <c r="EWG47" s="22"/>
      <c r="EWH47" s="22"/>
      <c r="EWI47" s="22"/>
      <c r="EWJ47" s="22"/>
      <c r="EWK47" s="22"/>
      <c r="EWL47" s="22"/>
      <c r="EWM47" s="22"/>
      <c r="EWN47" s="22"/>
      <c r="EWO47" s="22"/>
      <c r="EWP47" s="22"/>
      <c r="EWQ47" s="22"/>
      <c r="EWR47" s="22"/>
      <c r="EWS47" s="22"/>
      <c r="EWT47" s="22"/>
      <c r="EWU47" s="22"/>
      <c r="EWV47" s="22"/>
      <c r="EWW47" s="22"/>
      <c r="EWX47" s="22"/>
      <c r="EWY47" s="22"/>
      <c r="EWZ47" s="22"/>
      <c r="EXA47" s="22"/>
      <c r="EXB47" s="22"/>
      <c r="EXC47" s="22"/>
      <c r="EXD47" s="22"/>
      <c r="EXE47" s="22"/>
      <c r="EXF47" s="22"/>
      <c r="EXG47" s="22"/>
      <c r="EXH47" s="22"/>
      <c r="EXI47" s="22"/>
      <c r="EXJ47" s="22"/>
      <c r="EXK47" s="22"/>
      <c r="EXL47" s="22"/>
      <c r="EXM47" s="22"/>
      <c r="EXN47" s="22"/>
      <c r="EXO47" s="22"/>
      <c r="EXP47" s="22"/>
      <c r="EXQ47" s="22"/>
      <c r="EXR47" s="22"/>
      <c r="EXS47" s="22"/>
      <c r="EXT47" s="22"/>
      <c r="EXU47" s="22"/>
      <c r="EXV47" s="22"/>
      <c r="EXW47" s="22"/>
      <c r="EXX47" s="22"/>
      <c r="EXY47" s="22"/>
      <c r="EXZ47" s="22"/>
      <c r="EYA47" s="22"/>
      <c r="EYB47" s="22"/>
      <c r="EYC47" s="22"/>
      <c r="EYD47" s="22"/>
      <c r="EYE47" s="22"/>
      <c r="EYF47" s="22"/>
      <c r="EYG47" s="22"/>
      <c r="EYH47" s="22"/>
      <c r="EYI47" s="22"/>
      <c r="EYJ47" s="22"/>
      <c r="EYK47" s="22"/>
      <c r="EYL47" s="22"/>
      <c r="EYM47" s="22"/>
      <c r="EYN47" s="22"/>
      <c r="EYO47" s="22"/>
      <c r="EYP47" s="22"/>
      <c r="EYQ47" s="22"/>
      <c r="EYR47" s="22"/>
      <c r="EYS47" s="22"/>
      <c r="EYT47" s="22"/>
      <c r="EYU47" s="22"/>
      <c r="EYV47" s="22"/>
      <c r="EYW47" s="22"/>
      <c r="EYX47" s="22"/>
      <c r="EYY47" s="22"/>
      <c r="EYZ47" s="22"/>
      <c r="EZA47" s="22"/>
      <c r="EZB47" s="22"/>
      <c r="EZC47" s="22"/>
      <c r="EZD47" s="22"/>
      <c r="EZE47" s="22"/>
      <c r="EZF47" s="22"/>
      <c r="EZG47" s="22"/>
      <c r="EZH47" s="22"/>
      <c r="EZI47" s="22"/>
      <c r="EZJ47" s="22"/>
      <c r="EZK47" s="22"/>
      <c r="EZL47" s="22"/>
      <c r="EZM47" s="22"/>
      <c r="EZN47" s="22"/>
      <c r="EZO47" s="22"/>
      <c r="EZP47" s="22"/>
      <c r="EZQ47" s="22"/>
      <c r="EZR47" s="22"/>
      <c r="EZS47" s="22"/>
      <c r="EZT47" s="22"/>
      <c r="EZU47" s="22"/>
      <c r="EZV47" s="22"/>
      <c r="EZW47" s="22"/>
      <c r="EZX47" s="22"/>
      <c r="EZY47" s="22"/>
      <c r="EZZ47" s="22"/>
      <c r="FAA47" s="22"/>
      <c r="FAB47" s="22"/>
      <c r="FAC47" s="22"/>
      <c r="FAD47" s="22"/>
      <c r="FAE47" s="22"/>
      <c r="FAF47" s="22"/>
      <c r="FAG47" s="22"/>
      <c r="FAH47" s="22"/>
      <c r="FAI47" s="22"/>
      <c r="FAJ47" s="22"/>
      <c r="FAK47" s="22"/>
      <c r="FAL47" s="22"/>
      <c r="FAM47" s="22"/>
      <c r="FAN47" s="22"/>
      <c r="FAO47" s="22"/>
      <c r="FAP47" s="22"/>
      <c r="FAQ47" s="22"/>
      <c r="FAR47" s="22"/>
      <c r="FAS47" s="22"/>
      <c r="FAT47" s="22"/>
      <c r="FAU47" s="22"/>
      <c r="FAV47" s="22"/>
      <c r="FAW47" s="22"/>
      <c r="FAX47" s="22"/>
      <c r="FAY47" s="22"/>
      <c r="FAZ47" s="22"/>
      <c r="FBA47" s="22"/>
      <c r="FBB47" s="22"/>
      <c r="FBC47" s="22"/>
      <c r="FBD47" s="22"/>
      <c r="FBE47" s="22"/>
      <c r="FBF47" s="22"/>
      <c r="FBG47" s="22"/>
      <c r="FBH47" s="22"/>
      <c r="FBI47" s="22"/>
      <c r="FBJ47" s="22"/>
      <c r="FBK47" s="22"/>
      <c r="FBL47" s="22"/>
      <c r="FBM47" s="22"/>
      <c r="FBN47" s="22"/>
      <c r="FBO47" s="22"/>
      <c r="FBP47" s="22"/>
      <c r="FBQ47" s="22"/>
      <c r="FBR47" s="22"/>
      <c r="FBS47" s="22"/>
      <c r="FBT47" s="22"/>
      <c r="FBU47" s="22"/>
      <c r="FBV47" s="22"/>
      <c r="FBW47" s="22"/>
      <c r="FBX47" s="22"/>
      <c r="FBY47" s="22"/>
      <c r="FBZ47" s="22"/>
      <c r="FCA47" s="22"/>
      <c r="FCB47" s="22"/>
      <c r="FCC47" s="22"/>
      <c r="FCD47" s="22"/>
      <c r="FCE47" s="22"/>
      <c r="FCF47" s="22"/>
      <c r="FCG47" s="22"/>
      <c r="FCH47" s="22"/>
      <c r="FCI47" s="22"/>
      <c r="FCJ47" s="22"/>
      <c r="FCK47" s="22"/>
      <c r="FCL47" s="22"/>
      <c r="FCM47" s="22"/>
      <c r="FCN47" s="22"/>
      <c r="FCO47" s="22"/>
      <c r="FCP47" s="22"/>
      <c r="FCQ47" s="22"/>
      <c r="FCR47" s="22"/>
      <c r="FCS47" s="22"/>
      <c r="FCT47" s="22"/>
      <c r="FCU47" s="22"/>
      <c r="FCV47" s="22"/>
      <c r="FCW47" s="22"/>
      <c r="FCX47" s="22"/>
      <c r="FCY47" s="22"/>
      <c r="FCZ47" s="22"/>
      <c r="FDA47" s="22"/>
      <c r="FDB47" s="22"/>
      <c r="FDC47" s="22"/>
      <c r="FDD47" s="22"/>
      <c r="FDE47" s="22"/>
      <c r="FDF47" s="22"/>
      <c r="FDG47" s="22"/>
      <c r="FDH47" s="22"/>
      <c r="FDI47" s="22"/>
      <c r="FDJ47" s="22"/>
      <c r="FDK47" s="22"/>
      <c r="FDL47" s="22"/>
      <c r="FDM47" s="22"/>
      <c r="FDN47" s="22"/>
      <c r="FDO47" s="22"/>
      <c r="FDP47" s="22"/>
      <c r="FDQ47" s="22"/>
      <c r="FDR47" s="22"/>
      <c r="FDS47" s="22"/>
      <c r="FDT47" s="22"/>
      <c r="FDU47" s="22"/>
      <c r="FDV47" s="22"/>
      <c r="FDW47" s="22"/>
      <c r="FDX47" s="22"/>
      <c r="FDY47" s="22"/>
      <c r="FDZ47" s="22"/>
      <c r="FEA47" s="22"/>
      <c r="FEB47" s="22"/>
      <c r="FEC47" s="22"/>
      <c r="FED47" s="22"/>
      <c r="FEE47" s="22"/>
      <c r="FEF47" s="22"/>
      <c r="FEG47" s="22"/>
      <c r="FEH47" s="22"/>
      <c r="FEI47" s="22"/>
      <c r="FEJ47" s="22"/>
      <c r="FEK47" s="22"/>
      <c r="FEL47" s="22"/>
      <c r="FEM47" s="22"/>
      <c r="FEN47" s="22"/>
      <c r="FEO47" s="22"/>
      <c r="FEP47" s="22"/>
      <c r="FEQ47" s="22"/>
      <c r="FER47" s="22"/>
      <c r="FES47" s="22"/>
      <c r="FET47" s="22"/>
      <c r="FEU47" s="22"/>
      <c r="FEV47" s="22"/>
      <c r="FEW47" s="22"/>
      <c r="FEX47" s="22"/>
      <c r="FEY47" s="22"/>
      <c r="FEZ47" s="22"/>
      <c r="FFA47" s="22"/>
      <c r="FFB47" s="22"/>
      <c r="FFC47" s="22"/>
      <c r="FFD47" s="22"/>
      <c r="FFE47" s="22"/>
      <c r="FFF47" s="22"/>
      <c r="FFG47" s="22"/>
      <c r="FFH47" s="22"/>
      <c r="FFI47" s="22"/>
      <c r="FFJ47" s="22"/>
      <c r="FFK47" s="22"/>
      <c r="FFL47" s="22"/>
      <c r="FFM47" s="22"/>
      <c r="FFN47" s="22"/>
      <c r="FFO47" s="22"/>
      <c r="FFP47" s="22"/>
      <c r="FFQ47" s="22"/>
      <c r="FFR47" s="22"/>
      <c r="FFS47" s="22"/>
      <c r="FFT47" s="22"/>
      <c r="FFU47" s="22"/>
      <c r="FFV47" s="22"/>
      <c r="FFW47" s="22"/>
      <c r="FFX47" s="22"/>
      <c r="FFY47" s="22"/>
      <c r="FFZ47" s="22"/>
      <c r="FGA47" s="22"/>
      <c r="FGB47" s="22"/>
      <c r="FGC47" s="22"/>
      <c r="FGD47" s="22"/>
      <c r="FGE47" s="22"/>
      <c r="FGF47" s="22"/>
      <c r="FGG47" s="22"/>
      <c r="FGH47" s="22"/>
      <c r="FGI47" s="22"/>
      <c r="FGJ47" s="22"/>
      <c r="FGK47" s="22"/>
      <c r="FGL47" s="22"/>
      <c r="FGM47" s="22"/>
      <c r="FGN47" s="22"/>
      <c r="FGO47" s="22"/>
      <c r="FGP47" s="22"/>
      <c r="FGQ47" s="22"/>
      <c r="FGR47" s="22"/>
      <c r="FGS47" s="22"/>
      <c r="FGT47" s="22"/>
      <c r="FGU47" s="22"/>
      <c r="FGV47" s="22"/>
      <c r="FGW47" s="22"/>
      <c r="FGX47" s="22"/>
      <c r="FGY47" s="22"/>
      <c r="FGZ47" s="22"/>
      <c r="FHA47" s="22"/>
      <c r="FHB47" s="22"/>
      <c r="FHC47" s="22"/>
      <c r="FHD47" s="22"/>
      <c r="FHE47" s="22"/>
      <c r="FHF47" s="22"/>
      <c r="FHG47" s="22"/>
      <c r="FHH47" s="22"/>
      <c r="FHI47" s="22"/>
      <c r="FHJ47" s="22"/>
      <c r="FHK47" s="22"/>
      <c r="FHL47" s="22"/>
      <c r="FHM47" s="22"/>
      <c r="FHN47" s="22"/>
      <c r="FHO47" s="22"/>
      <c r="FHP47" s="22"/>
      <c r="FHQ47" s="22"/>
      <c r="FHR47" s="22"/>
      <c r="FHS47" s="22"/>
      <c r="FHT47" s="22"/>
      <c r="FHU47" s="22"/>
      <c r="FHV47" s="22"/>
      <c r="FHW47" s="22"/>
      <c r="FHX47" s="22"/>
      <c r="FHY47" s="22"/>
      <c r="FHZ47" s="22"/>
      <c r="FIA47" s="22"/>
      <c r="FIB47" s="22"/>
      <c r="FIC47" s="22"/>
      <c r="FID47" s="22"/>
      <c r="FIE47" s="22"/>
      <c r="FIF47" s="22"/>
      <c r="FIG47" s="22"/>
      <c r="FIH47" s="22"/>
      <c r="FII47" s="22"/>
      <c r="FIJ47" s="22"/>
      <c r="FIK47" s="22"/>
      <c r="FIL47" s="22"/>
      <c r="FIM47" s="22"/>
      <c r="FIN47" s="22"/>
      <c r="FIO47" s="22"/>
      <c r="FIP47" s="22"/>
      <c r="FIQ47" s="22"/>
      <c r="FIR47" s="22"/>
      <c r="FIS47" s="22"/>
      <c r="FIT47" s="22"/>
      <c r="FIU47" s="22"/>
      <c r="FIV47" s="22"/>
      <c r="FIW47" s="22"/>
      <c r="FIX47" s="22"/>
      <c r="FIY47" s="22"/>
      <c r="FIZ47" s="22"/>
      <c r="FJA47" s="22"/>
      <c r="FJB47" s="22"/>
      <c r="FJC47" s="22"/>
      <c r="FJD47" s="22"/>
      <c r="FJE47" s="22"/>
      <c r="FJF47" s="22"/>
      <c r="FJG47" s="22"/>
      <c r="FJH47" s="22"/>
      <c r="FJI47" s="22"/>
      <c r="FJJ47" s="22"/>
      <c r="FJK47" s="22"/>
      <c r="FJL47" s="22"/>
      <c r="FJM47" s="22"/>
      <c r="FJN47" s="22"/>
      <c r="FJO47" s="22"/>
      <c r="FJP47" s="22"/>
      <c r="FJQ47" s="22"/>
      <c r="FJR47" s="22"/>
      <c r="FJS47" s="22"/>
      <c r="FJT47" s="22"/>
      <c r="FJU47" s="22"/>
      <c r="FJV47" s="22"/>
      <c r="FJW47" s="22"/>
      <c r="FJX47" s="22"/>
      <c r="FJY47" s="22"/>
      <c r="FJZ47" s="22"/>
      <c r="FKA47" s="22"/>
      <c r="FKB47" s="22"/>
      <c r="FKC47" s="22"/>
      <c r="FKD47" s="22"/>
      <c r="FKE47" s="22"/>
      <c r="FKF47" s="22"/>
      <c r="FKG47" s="22"/>
      <c r="FKH47" s="22"/>
      <c r="FKI47" s="22"/>
      <c r="FKJ47" s="22"/>
      <c r="FKK47" s="22"/>
      <c r="FKL47" s="22"/>
      <c r="FKM47" s="22"/>
      <c r="FKN47" s="22"/>
      <c r="FKO47" s="22"/>
      <c r="FKP47" s="22"/>
      <c r="FKQ47" s="22"/>
      <c r="FKR47" s="22"/>
      <c r="FKS47" s="22"/>
      <c r="FKT47" s="22"/>
      <c r="FKU47" s="22"/>
      <c r="FKV47" s="22"/>
      <c r="FKW47" s="22"/>
      <c r="FKX47" s="22"/>
      <c r="FKY47" s="22"/>
      <c r="FKZ47" s="22"/>
      <c r="FLA47" s="22"/>
      <c r="FLB47" s="22"/>
      <c r="FLC47" s="22"/>
      <c r="FLD47" s="22"/>
      <c r="FLE47" s="22"/>
      <c r="FLF47" s="22"/>
      <c r="FLG47" s="22"/>
      <c r="FLH47" s="22"/>
      <c r="FLI47" s="22"/>
      <c r="FLJ47" s="22"/>
      <c r="FLK47" s="22"/>
      <c r="FLL47" s="22"/>
      <c r="FLM47" s="22"/>
      <c r="FLN47" s="22"/>
      <c r="FLO47" s="22"/>
      <c r="FLP47" s="22"/>
      <c r="FLQ47" s="22"/>
      <c r="FLR47" s="22"/>
      <c r="FLS47" s="22"/>
      <c r="FLT47" s="22"/>
      <c r="FLU47" s="22"/>
      <c r="FLV47" s="22"/>
      <c r="FLW47" s="22"/>
      <c r="FLX47" s="22"/>
      <c r="FLY47" s="22"/>
      <c r="FLZ47" s="22"/>
      <c r="FMA47" s="22"/>
      <c r="FMB47" s="22"/>
      <c r="FMC47" s="22"/>
      <c r="FMD47" s="22"/>
      <c r="FME47" s="22"/>
      <c r="FMF47" s="22"/>
      <c r="FMG47" s="22"/>
      <c r="FMH47" s="22"/>
      <c r="FMI47" s="22"/>
      <c r="FMJ47" s="22"/>
      <c r="FMK47" s="22"/>
      <c r="FML47" s="22"/>
      <c r="FMM47" s="22"/>
      <c r="FMN47" s="22"/>
      <c r="FMO47" s="22"/>
      <c r="FMP47" s="22"/>
      <c r="FMQ47" s="22"/>
      <c r="FMR47" s="22"/>
      <c r="FMS47" s="22"/>
      <c r="FMT47" s="22"/>
      <c r="FMU47" s="22"/>
      <c r="FMV47" s="22"/>
      <c r="FMW47" s="22"/>
      <c r="FMX47" s="22"/>
      <c r="FMY47" s="22"/>
      <c r="FMZ47" s="22"/>
      <c r="FNA47" s="22"/>
      <c r="FNB47" s="22"/>
      <c r="FNC47" s="22"/>
      <c r="FND47" s="22"/>
      <c r="FNE47" s="22"/>
      <c r="FNF47" s="22"/>
      <c r="FNG47" s="22"/>
      <c r="FNH47" s="22"/>
      <c r="FNI47" s="22"/>
      <c r="FNJ47" s="22"/>
      <c r="FNK47" s="22"/>
      <c r="FNL47" s="22"/>
      <c r="FNM47" s="22"/>
      <c r="FNN47" s="22"/>
      <c r="FNO47" s="22"/>
      <c r="FNP47" s="22"/>
      <c r="FNQ47" s="22"/>
      <c r="FNR47" s="22"/>
      <c r="FNS47" s="22"/>
      <c r="FNT47" s="22"/>
      <c r="FNU47" s="22"/>
      <c r="FNV47" s="22"/>
      <c r="FNW47" s="22"/>
      <c r="FNX47" s="22"/>
      <c r="FNY47" s="22"/>
      <c r="FNZ47" s="22"/>
      <c r="FOA47" s="22"/>
      <c r="FOB47" s="22"/>
      <c r="FOC47" s="22"/>
      <c r="FOD47" s="22"/>
      <c r="FOE47" s="22"/>
      <c r="FOF47" s="22"/>
      <c r="FOG47" s="22"/>
      <c r="FOH47" s="22"/>
      <c r="FOI47" s="22"/>
      <c r="FOJ47" s="22"/>
      <c r="FOK47" s="22"/>
      <c r="FOL47" s="22"/>
      <c r="FOM47" s="22"/>
      <c r="FON47" s="22"/>
      <c r="FOO47" s="22"/>
      <c r="FOP47" s="22"/>
      <c r="FOQ47" s="22"/>
      <c r="FOR47" s="22"/>
      <c r="FOS47" s="22"/>
      <c r="FOT47" s="22"/>
      <c r="FOU47" s="22"/>
      <c r="FOV47" s="22"/>
      <c r="FOW47" s="22"/>
      <c r="FOX47" s="22"/>
      <c r="FOY47" s="22"/>
      <c r="FOZ47" s="22"/>
      <c r="FPA47" s="22"/>
      <c r="FPB47" s="22"/>
      <c r="FPC47" s="22"/>
      <c r="FPD47" s="22"/>
      <c r="FPE47" s="22"/>
      <c r="FPF47" s="22"/>
      <c r="FPG47" s="22"/>
      <c r="FPH47" s="22"/>
      <c r="FPI47" s="22"/>
      <c r="FPJ47" s="22"/>
      <c r="FPK47" s="22"/>
      <c r="FPL47" s="22"/>
      <c r="FPM47" s="22"/>
      <c r="FPN47" s="22"/>
      <c r="FPO47" s="22"/>
      <c r="FPP47" s="22"/>
      <c r="FPQ47" s="22"/>
      <c r="FPR47" s="22"/>
      <c r="FPS47" s="22"/>
      <c r="FPT47" s="22"/>
      <c r="FPU47" s="22"/>
      <c r="FPV47" s="22"/>
      <c r="FPW47" s="22"/>
      <c r="FPX47" s="22"/>
      <c r="FPY47" s="22"/>
      <c r="FPZ47" s="22"/>
      <c r="FQA47" s="22"/>
      <c r="FQB47" s="22"/>
      <c r="FQC47" s="22"/>
      <c r="FQD47" s="22"/>
      <c r="FQE47" s="22"/>
      <c r="FQF47" s="22"/>
      <c r="FQG47" s="22"/>
      <c r="FQH47" s="22"/>
      <c r="FQI47" s="22"/>
      <c r="FQJ47" s="22"/>
      <c r="FQK47" s="22"/>
      <c r="FQL47" s="22"/>
      <c r="FQM47" s="22"/>
      <c r="FQN47" s="22"/>
      <c r="FQO47" s="22"/>
      <c r="FQP47" s="22"/>
      <c r="FQQ47" s="22"/>
      <c r="FQR47" s="22"/>
      <c r="FQS47" s="22"/>
      <c r="FQT47" s="22"/>
      <c r="FQU47" s="22"/>
      <c r="FQV47" s="22"/>
      <c r="FQW47" s="22"/>
      <c r="FQX47" s="22"/>
      <c r="FQY47" s="22"/>
      <c r="FQZ47" s="22"/>
      <c r="FRA47" s="22"/>
      <c r="FRB47" s="22"/>
      <c r="FRC47" s="22"/>
      <c r="FRD47" s="22"/>
      <c r="FRE47" s="22"/>
      <c r="FRF47" s="22"/>
      <c r="FRG47" s="22"/>
      <c r="FRH47" s="22"/>
      <c r="FRI47" s="22"/>
      <c r="FRJ47" s="22"/>
      <c r="FRK47" s="22"/>
      <c r="FRL47" s="22"/>
      <c r="FRM47" s="22"/>
      <c r="FRN47" s="22"/>
      <c r="FRO47" s="22"/>
      <c r="FRP47" s="22"/>
      <c r="FRQ47" s="22"/>
      <c r="FRR47" s="22"/>
      <c r="FRS47" s="22"/>
      <c r="FRT47" s="22"/>
      <c r="FRU47" s="22"/>
      <c r="FRV47" s="22"/>
      <c r="FRW47" s="22"/>
      <c r="FRX47" s="22"/>
      <c r="FRY47" s="22"/>
      <c r="FRZ47" s="22"/>
      <c r="FSA47" s="22"/>
      <c r="FSB47" s="22"/>
      <c r="FSC47" s="22"/>
      <c r="FSD47" s="22"/>
      <c r="FSE47" s="22"/>
      <c r="FSF47" s="22"/>
      <c r="FSG47" s="22"/>
      <c r="FSH47" s="22"/>
      <c r="FSI47" s="22"/>
      <c r="FSJ47" s="22"/>
      <c r="FSK47" s="22"/>
      <c r="FSL47" s="22"/>
      <c r="FSM47" s="22"/>
      <c r="FSN47" s="22"/>
      <c r="FSO47" s="22"/>
      <c r="FSP47" s="22"/>
      <c r="FSQ47" s="22"/>
      <c r="FSR47" s="22"/>
      <c r="FSS47" s="22"/>
      <c r="FST47" s="22"/>
      <c r="FSU47" s="22"/>
      <c r="FSV47" s="22"/>
      <c r="FSW47" s="22"/>
      <c r="FSX47" s="22"/>
      <c r="FSY47" s="22"/>
      <c r="FSZ47" s="22"/>
      <c r="FTA47" s="22"/>
      <c r="FTB47" s="22"/>
      <c r="FTC47" s="22"/>
      <c r="FTD47" s="22"/>
      <c r="FTE47" s="22"/>
      <c r="FTF47" s="22"/>
      <c r="FTG47" s="22"/>
      <c r="FTH47" s="22"/>
      <c r="FTI47" s="22"/>
      <c r="FTJ47" s="22"/>
      <c r="FTK47" s="22"/>
      <c r="FTL47" s="22"/>
      <c r="FTM47" s="22"/>
      <c r="FTN47" s="22"/>
      <c r="FTO47" s="22"/>
      <c r="FTP47" s="22"/>
      <c r="FTQ47" s="22"/>
      <c r="FTR47" s="22"/>
      <c r="FTS47" s="22"/>
      <c r="FTT47" s="22"/>
      <c r="FTU47" s="22"/>
      <c r="FTV47" s="22"/>
      <c r="FTW47" s="22"/>
      <c r="FTX47" s="22"/>
      <c r="FTY47" s="22"/>
      <c r="FTZ47" s="22"/>
      <c r="FUA47" s="22"/>
      <c r="FUB47" s="22"/>
      <c r="FUC47" s="22"/>
      <c r="FUD47" s="22"/>
      <c r="FUE47" s="22"/>
      <c r="FUF47" s="22"/>
      <c r="FUG47" s="22"/>
      <c r="FUH47" s="22"/>
      <c r="FUI47" s="22"/>
      <c r="FUJ47" s="22"/>
      <c r="FUK47" s="22"/>
      <c r="FUL47" s="22"/>
      <c r="FUM47" s="22"/>
      <c r="FUN47" s="22"/>
      <c r="FUO47" s="22"/>
      <c r="FUP47" s="22"/>
      <c r="FUQ47" s="22"/>
      <c r="FUR47" s="22"/>
      <c r="FUS47" s="22"/>
      <c r="FUT47" s="22"/>
      <c r="FUU47" s="22"/>
      <c r="FUV47" s="22"/>
      <c r="FUW47" s="22"/>
      <c r="FUX47" s="22"/>
      <c r="FUY47" s="22"/>
      <c r="FUZ47" s="22"/>
      <c r="FVA47" s="22"/>
      <c r="FVB47" s="22"/>
      <c r="FVC47" s="22"/>
      <c r="FVD47" s="22"/>
      <c r="FVE47" s="22"/>
      <c r="FVF47" s="22"/>
      <c r="FVG47" s="22"/>
      <c r="FVH47" s="22"/>
      <c r="FVI47" s="22"/>
      <c r="FVJ47" s="22"/>
      <c r="FVK47" s="22"/>
      <c r="FVL47" s="22"/>
      <c r="FVM47" s="22"/>
      <c r="FVN47" s="22"/>
      <c r="FVO47" s="22"/>
      <c r="FVP47" s="22"/>
      <c r="FVQ47" s="22"/>
      <c r="FVR47" s="22"/>
      <c r="FVS47" s="22"/>
      <c r="FVT47" s="22"/>
      <c r="FVU47" s="22"/>
      <c r="FVV47" s="22"/>
      <c r="FVW47" s="22"/>
      <c r="FVX47" s="22"/>
      <c r="FVY47" s="22"/>
      <c r="FVZ47" s="22"/>
      <c r="FWA47" s="22"/>
      <c r="FWB47" s="22"/>
      <c r="FWC47" s="22"/>
      <c r="FWD47" s="22"/>
      <c r="FWE47" s="22"/>
      <c r="FWF47" s="22"/>
      <c r="FWG47" s="22"/>
      <c r="FWH47" s="22"/>
      <c r="FWI47" s="22"/>
      <c r="FWJ47" s="22"/>
      <c r="FWK47" s="22"/>
      <c r="FWL47" s="22"/>
      <c r="FWM47" s="22"/>
      <c r="FWN47" s="22"/>
      <c r="FWO47" s="22"/>
      <c r="FWP47" s="22"/>
      <c r="FWQ47" s="22"/>
      <c r="FWR47" s="22"/>
      <c r="FWS47" s="22"/>
      <c r="FWT47" s="22"/>
      <c r="FWU47" s="22"/>
      <c r="FWV47" s="22"/>
      <c r="FWW47" s="22"/>
      <c r="FWX47" s="22"/>
      <c r="FWY47" s="22"/>
      <c r="FWZ47" s="22"/>
      <c r="FXA47" s="22"/>
      <c r="FXB47" s="22"/>
      <c r="FXC47" s="22"/>
      <c r="FXD47" s="22"/>
      <c r="FXE47" s="22"/>
      <c r="FXF47" s="22"/>
      <c r="FXG47" s="22"/>
      <c r="FXH47" s="22"/>
      <c r="FXI47" s="22"/>
      <c r="FXJ47" s="22"/>
      <c r="FXK47" s="22"/>
      <c r="FXL47" s="22"/>
      <c r="FXM47" s="22"/>
      <c r="FXN47" s="22"/>
      <c r="FXO47" s="22"/>
      <c r="FXP47" s="22"/>
      <c r="FXQ47" s="22"/>
      <c r="FXR47" s="22"/>
      <c r="FXS47" s="22"/>
      <c r="FXT47" s="22"/>
      <c r="FXU47" s="22"/>
      <c r="FXV47" s="22"/>
      <c r="FXW47" s="22"/>
      <c r="FXX47" s="22"/>
      <c r="FXY47" s="22"/>
      <c r="FXZ47" s="22"/>
      <c r="FYA47" s="22"/>
      <c r="FYB47" s="22"/>
      <c r="FYC47" s="22"/>
      <c r="FYD47" s="22"/>
      <c r="FYE47" s="22"/>
      <c r="FYF47" s="22"/>
      <c r="FYG47" s="22"/>
      <c r="FYH47" s="22"/>
      <c r="FYI47" s="22"/>
      <c r="FYJ47" s="22"/>
      <c r="FYK47" s="22"/>
      <c r="FYL47" s="22"/>
      <c r="FYM47" s="22"/>
      <c r="FYN47" s="22"/>
      <c r="FYO47" s="22"/>
      <c r="FYP47" s="22"/>
      <c r="FYQ47" s="22"/>
      <c r="FYR47" s="22"/>
      <c r="FYS47" s="22"/>
      <c r="FYT47" s="22"/>
      <c r="FYU47" s="22"/>
      <c r="FYV47" s="22"/>
      <c r="FYW47" s="22"/>
      <c r="FYX47" s="22"/>
      <c r="FYY47" s="22"/>
      <c r="FYZ47" s="22"/>
      <c r="FZA47" s="22"/>
      <c r="FZB47" s="22"/>
      <c r="FZC47" s="22"/>
      <c r="FZD47" s="22"/>
      <c r="FZE47" s="22"/>
      <c r="FZF47" s="22"/>
      <c r="FZG47" s="22"/>
      <c r="FZH47" s="22"/>
      <c r="FZI47" s="22"/>
      <c r="FZJ47" s="22"/>
      <c r="FZK47" s="22"/>
      <c r="FZL47" s="22"/>
      <c r="FZM47" s="22"/>
      <c r="FZN47" s="22"/>
      <c r="FZO47" s="22"/>
      <c r="FZP47" s="22"/>
      <c r="FZQ47" s="22"/>
      <c r="FZR47" s="22"/>
      <c r="FZS47" s="22"/>
      <c r="FZT47" s="22"/>
      <c r="FZU47" s="22"/>
      <c r="FZV47" s="22"/>
      <c r="FZW47" s="22"/>
      <c r="FZX47" s="22"/>
      <c r="FZY47" s="22"/>
      <c r="FZZ47" s="22"/>
      <c r="GAA47" s="22"/>
      <c r="GAB47" s="22"/>
      <c r="GAC47" s="22"/>
      <c r="GAD47" s="22"/>
      <c r="GAE47" s="22"/>
      <c r="GAF47" s="22"/>
      <c r="GAG47" s="22"/>
      <c r="GAH47" s="22"/>
      <c r="GAI47" s="22"/>
      <c r="GAJ47" s="22"/>
      <c r="GAK47" s="22"/>
      <c r="GAL47" s="22"/>
      <c r="GAM47" s="22"/>
      <c r="GAN47" s="22"/>
      <c r="GAO47" s="22"/>
      <c r="GAP47" s="22"/>
      <c r="GAQ47" s="22"/>
      <c r="GAR47" s="22"/>
      <c r="GAS47" s="22"/>
      <c r="GAT47" s="22"/>
      <c r="GAU47" s="22"/>
      <c r="GAV47" s="22"/>
      <c r="GAW47" s="22"/>
      <c r="GAX47" s="22"/>
      <c r="GAY47" s="22"/>
      <c r="GAZ47" s="22"/>
      <c r="GBA47" s="22"/>
      <c r="GBB47" s="22"/>
      <c r="GBC47" s="22"/>
      <c r="GBD47" s="22"/>
      <c r="GBE47" s="22"/>
      <c r="GBF47" s="22"/>
      <c r="GBG47" s="22"/>
      <c r="GBH47" s="22"/>
      <c r="GBI47" s="22"/>
      <c r="GBJ47" s="22"/>
      <c r="GBK47" s="22"/>
      <c r="GBL47" s="22"/>
      <c r="GBM47" s="22"/>
      <c r="GBN47" s="22"/>
      <c r="GBO47" s="22"/>
      <c r="GBP47" s="22"/>
      <c r="GBQ47" s="22"/>
      <c r="GBR47" s="22"/>
      <c r="GBS47" s="22"/>
      <c r="GBT47" s="22"/>
      <c r="GBU47" s="22"/>
      <c r="GBV47" s="22"/>
      <c r="GBW47" s="22"/>
      <c r="GBX47" s="22"/>
      <c r="GBY47" s="22"/>
      <c r="GBZ47" s="22"/>
      <c r="GCA47" s="22"/>
      <c r="GCB47" s="22"/>
      <c r="GCC47" s="22"/>
      <c r="GCD47" s="22"/>
      <c r="GCE47" s="22"/>
      <c r="GCF47" s="22"/>
      <c r="GCG47" s="22"/>
      <c r="GCH47" s="22"/>
      <c r="GCI47" s="22"/>
      <c r="GCJ47" s="22"/>
      <c r="GCK47" s="22"/>
      <c r="GCL47" s="22"/>
      <c r="GCM47" s="22"/>
      <c r="GCN47" s="22"/>
      <c r="GCO47" s="22"/>
      <c r="GCP47" s="22"/>
      <c r="GCQ47" s="22"/>
      <c r="GCR47" s="22"/>
      <c r="GCS47" s="22"/>
      <c r="GCT47" s="22"/>
      <c r="GCU47" s="22"/>
      <c r="GCV47" s="22"/>
      <c r="GCW47" s="22"/>
      <c r="GCX47" s="22"/>
      <c r="GCY47" s="22"/>
      <c r="GCZ47" s="22"/>
      <c r="GDA47" s="22"/>
      <c r="GDB47" s="22"/>
      <c r="GDC47" s="22"/>
      <c r="GDD47" s="22"/>
      <c r="GDE47" s="22"/>
      <c r="GDF47" s="22"/>
      <c r="GDG47" s="22"/>
      <c r="GDH47" s="22"/>
      <c r="GDI47" s="22"/>
      <c r="GDJ47" s="22"/>
      <c r="GDK47" s="22"/>
      <c r="GDL47" s="22"/>
      <c r="GDM47" s="22"/>
      <c r="GDN47" s="22"/>
      <c r="GDO47" s="22"/>
      <c r="GDP47" s="22"/>
      <c r="GDQ47" s="22"/>
      <c r="GDR47" s="22"/>
      <c r="GDS47" s="22"/>
      <c r="GDT47" s="22"/>
      <c r="GDU47" s="22"/>
      <c r="GDV47" s="22"/>
      <c r="GDW47" s="22"/>
      <c r="GDX47" s="22"/>
      <c r="GDY47" s="22"/>
      <c r="GDZ47" s="22"/>
      <c r="GEA47" s="22"/>
      <c r="GEB47" s="22"/>
      <c r="GEC47" s="22"/>
      <c r="GED47" s="22"/>
      <c r="GEE47" s="22"/>
      <c r="GEF47" s="22"/>
      <c r="GEG47" s="22"/>
      <c r="GEH47" s="22"/>
      <c r="GEI47" s="22"/>
      <c r="GEJ47" s="22"/>
      <c r="GEK47" s="22"/>
      <c r="GEL47" s="22"/>
      <c r="GEM47" s="22"/>
      <c r="GEN47" s="22"/>
      <c r="GEO47" s="22"/>
      <c r="GEP47" s="22"/>
      <c r="GEQ47" s="22"/>
      <c r="GER47" s="22"/>
      <c r="GES47" s="22"/>
      <c r="GET47" s="22"/>
      <c r="GEU47" s="22"/>
      <c r="GEV47" s="22"/>
      <c r="GEW47" s="22"/>
      <c r="GEX47" s="22"/>
      <c r="GEY47" s="22"/>
      <c r="GEZ47" s="22"/>
      <c r="GFA47" s="22"/>
      <c r="GFB47" s="22"/>
      <c r="GFC47" s="22"/>
      <c r="GFD47" s="22"/>
      <c r="GFE47" s="22"/>
      <c r="GFF47" s="22"/>
      <c r="GFG47" s="22"/>
      <c r="GFH47" s="22"/>
      <c r="GFI47" s="22"/>
      <c r="GFJ47" s="22"/>
      <c r="GFK47" s="22"/>
      <c r="GFL47" s="22"/>
      <c r="GFM47" s="22"/>
      <c r="GFN47" s="22"/>
      <c r="GFO47" s="22"/>
      <c r="GFP47" s="22"/>
      <c r="GFQ47" s="22"/>
      <c r="GFR47" s="22"/>
      <c r="GFS47" s="22"/>
      <c r="GFT47" s="22"/>
      <c r="GFU47" s="22"/>
      <c r="GFV47" s="22"/>
      <c r="GFW47" s="22"/>
      <c r="GFX47" s="22"/>
      <c r="GFY47" s="22"/>
      <c r="GFZ47" s="22"/>
      <c r="GGA47" s="22"/>
      <c r="GGB47" s="22"/>
      <c r="GGC47" s="22"/>
      <c r="GGD47" s="22"/>
      <c r="GGE47" s="22"/>
      <c r="GGF47" s="22"/>
      <c r="GGG47" s="22"/>
      <c r="GGH47" s="22"/>
      <c r="GGI47" s="22"/>
      <c r="GGJ47" s="22"/>
      <c r="GGK47" s="22"/>
      <c r="GGL47" s="22"/>
      <c r="GGM47" s="22"/>
      <c r="GGN47" s="22"/>
      <c r="GGO47" s="22"/>
      <c r="GGP47" s="22"/>
      <c r="GGQ47" s="22"/>
      <c r="GGR47" s="22"/>
      <c r="GGS47" s="22"/>
      <c r="GGT47" s="22"/>
      <c r="GGU47" s="22"/>
      <c r="GGV47" s="22"/>
      <c r="GGW47" s="22"/>
      <c r="GGX47" s="22"/>
      <c r="GGY47" s="22"/>
      <c r="GGZ47" s="22"/>
      <c r="GHA47" s="22"/>
      <c r="GHB47" s="22"/>
      <c r="GHC47" s="22"/>
      <c r="GHD47" s="22"/>
      <c r="GHE47" s="22"/>
      <c r="GHF47" s="22"/>
      <c r="GHG47" s="22"/>
      <c r="GHH47" s="22"/>
      <c r="GHI47" s="22"/>
      <c r="GHJ47" s="22"/>
      <c r="GHK47" s="22"/>
      <c r="GHL47" s="22"/>
      <c r="GHM47" s="22"/>
      <c r="GHN47" s="22"/>
      <c r="GHO47" s="22"/>
      <c r="GHP47" s="22"/>
      <c r="GHQ47" s="22"/>
      <c r="GHR47" s="22"/>
      <c r="GHS47" s="22"/>
      <c r="GHT47" s="22"/>
      <c r="GHU47" s="22"/>
      <c r="GHV47" s="22"/>
      <c r="GHW47" s="22"/>
      <c r="GHX47" s="22"/>
      <c r="GHY47" s="22"/>
      <c r="GHZ47" s="22"/>
      <c r="GIA47" s="22"/>
      <c r="GIB47" s="22"/>
      <c r="GIC47" s="22"/>
      <c r="GID47" s="22"/>
      <c r="GIE47" s="22"/>
      <c r="GIF47" s="22"/>
      <c r="GIG47" s="22"/>
      <c r="GIH47" s="22"/>
      <c r="GII47" s="22"/>
      <c r="GIJ47" s="22"/>
      <c r="GIK47" s="22"/>
      <c r="GIL47" s="22"/>
      <c r="GIM47" s="22"/>
      <c r="GIN47" s="22"/>
      <c r="GIO47" s="22"/>
      <c r="GIP47" s="22"/>
      <c r="GIQ47" s="22"/>
      <c r="GIR47" s="22"/>
      <c r="GIS47" s="22"/>
      <c r="GIT47" s="22"/>
      <c r="GIU47" s="22"/>
      <c r="GIV47" s="22"/>
      <c r="GIW47" s="22"/>
      <c r="GIX47" s="22"/>
      <c r="GIY47" s="22"/>
      <c r="GIZ47" s="22"/>
      <c r="GJA47" s="22"/>
      <c r="GJB47" s="22"/>
      <c r="GJC47" s="22"/>
      <c r="GJD47" s="22"/>
      <c r="GJE47" s="22"/>
      <c r="GJF47" s="22"/>
      <c r="GJG47" s="22"/>
      <c r="GJH47" s="22"/>
      <c r="GJI47" s="22"/>
      <c r="GJJ47" s="22"/>
      <c r="GJK47" s="22"/>
      <c r="GJL47" s="22"/>
      <c r="GJM47" s="22"/>
      <c r="GJN47" s="22"/>
      <c r="GJO47" s="22"/>
      <c r="GJP47" s="22"/>
      <c r="GJQ47" s="22"/>
      <c r="GJR47" s="22"/>
      <c r="GJS47" s="22"/>
      <c r="GJT47" s="22"/>
      <c r="GJU47" s="22"/>
      <c r="GJV47" s="22"/>
      <c r="GJW47" s="22"/>
      <c r="GJX47" s="22"/>
      <c r="GJY47" s="22"/>
      <c r="GJZ47" s="22"/>
      <c r="GKA47" s="22"/>
      <c r="GKB47" s="22"/>
      <c r="GKC47" s="22"/>
      <c r="GKD47" s="22"/>
      <c r="GKE47" s="22"/>
      <c r="GKF47" s="22"/>
      <c r="GKG47" s="22"/>
      <c r="GKH47" s="22"/>
      <c r="GKI47" s="22"/>
      <c r="GKJ47" s="22"/>
      <c r="GKK47" s="22"/>
      <c r="GKL47" s="22"/>
      <c r="GKM47" s="22"/>
      <c r="GKN47" s="22"/>
      <c r="GKO47" s="22"/>
      <c r="GKP47" s="22"/>
      <c r="GKQ47" s="22"/>
      <c r="GKR47" s="22"/>
      <c r="GKS47" s="22"/>
      <c r="GKT47" s="22"/>
      <c r="GKU47" s="22"/>
      <c r="GKV47" s="22"/>
      <c r="GKW47" s="22"/>
      <c r="GKX47" s="22"/>
      <c r="GKY47" s="22"/>
      <c r="GKZ47" s="22"/>
      <c r="GLA47" s="22"/>
      <c r="GLB47" s="22"/>
      <c r="GLC47" s="22"/>
      <c r="GLD47" s="22"/>
      <c r="GLE47" s="22"/>
      <c r="GLF47" s="22"/>
      <c r="GLG47" s="22"/>
      <c r="GLH47" s="22"/>
      <c r="GLI47" s="22"/>
      <c r="GLJ47" s="22"/>
      <c r="GLK47" s="22"/>
      <c r="GLL47" s="22"/>
      <c r="GLM47" s="22"/>
      <c r="GLN47" s="22"/>
      <c r="GLO47" s="22"/>
      <c r="GLP47" s="22"/>
      <c r="GLQ47" s="22"/>
      <c r="GLR47" s="22"/>
      <c r="GLS47" s="22"/>
      <c r="GLT47" s="22"/>
      <c r="GLU47" s="22"/>
      <c r="GLV47" s="22"/>
      <c r="GLW47" s="22"/>
      <c r="GLX47" s="22"/>
      <c r="GLY47" s="22"/>
      <c r="GLZ47" s="22"/>
      <c r="GMA47" s="22"/>
      <c r="GMB47" s="22"/>
      <c r="GMC47" s="22"/>
      <c r="GMD47" s="22"/>
      <c r="GME47" s="22"/>
      <c r="GMF47" s="22"/>
      <c r="GMG47" s="22"/>
      <c r="GMH47" s="22"/>
      <c r="GMI47" s="22"/>
      <c r="GMJ47" s="22"/>
      <c r="GMK47" s="22"/>
      <c r="GML47" s="22"/>
      <c r="GMM47" s="22"/>
      <c r="GMN47" s="22"/>
      <c r="GMO47" s="22"/>
      <c r="GMP47" s="22"/>
      <c r="GMQ47" s="22"/>
      <c r="GMR47" s="22"/>
      <c r="GMS47" s="22"/>
      <c r="GMT47" s="22"/>
      <c r="GMU47" s="22"/>
      <c r="GMV47" s="22"/>
      <c r="GMW47" s="22"/>
      <c r="GMX47" s="22"/>
      <c r="GMY47" s="22"/>
      <c r="GMZ47" s="22"/>
      <c r="GNA47" s="22"/>
      <c r="GNB47" s="22"/>
      <c r="GNC47" s="22"/>
      <c r="GND47" s="22"/>
      <c r="GNE47" s="22"/>
      <c r="GNF47" s="22"/>
      <c r="GNG47" s="22"/>
      <c r="GNH47" s="22"/>
      <c r="GNI47" s="22"/>
      <c r="GNJ47" s="22"/>
      <c r="GNK47" s="22"/>
      <c r="GNL47" s="22"/>
      <c r="GNM47" s="22"/>
      <c r="GNN47" s="22"/>
      <c r="GNO47" s="22"/>
      <c r="GNP47" s="22"/>
      <c r="GNQ47" s="22"/>
      <c r="GNR47" s="22"/>
      <c r="GNS47" s="22"/>
      <c r="GNT47" s="22"/>
      <c r="GNU47" s="22"/>
      <c r="GNV47" s="22"/>
      <c r="GNW47" s="22"/>
      <c r="GNX47" s="22"/>
      <c r="GNY47" s="22"/>
      <c r="GNZ47" s="22"/>
      <c r="GOA47" s="22"/>
      <c r="GOB47" s="22"/>
      <c r="GOC47" s="22"/>
      <c r="GOD47" s="22"/>
      <c r="GOE47" s="22"/>
      <c r="GOF47" s="22"/>
      <c r="GOG47" s="22"/>
      <c r="GOH47" s="22"/>
      <c r="GOI47" s="22"/>
      <c r="GOJ47" s="22"/>
      <c r="GOK47" s="22"/>
      <c r="GOL47" s="22"/>
      <c r="GOM47" s="22"/>
      <c r="GON47" s="22"/>
      <c r="GOO47" s="22"/>
      <c r="GOP47" s="22"/>
      <c r="GOQ47" s="22"/>
      <c r="GOR47" s="22"/>
      <c r="GOS47" s="22"/>
      <c r="GOT47" s="22"/>
      <c r="GOU47" s="22"/>
      <c r="GOV47" s="22"/>
      <c r="GOW47" s="22"/>
      <c r="GOX47" s="22"/>
      <c r="GOY47" s="22"/>
      <c r="GOZ47" s="22"/>
      <c r="GPA47" s="22"/>
      <c r="GPB47" s="22"/>
      <c r="GPC47" s="22"/>
      <c r="GPD47" s="22"/>
      <c r="GPE47" s="22"/>
      <c r="GPF47" s="22"/>
      <c r="GPG47" s="22"/>
      <c r="GPH47" s="22"/>
      <c r="GPI47" s="22"/>
      <c r="GPJ47" s="22"/>
      <c r="GPK47" s="22"/>
      <c r="GPL47" s="22"/>
      <c r="GPM47" s="22"/>
      <c r="GPN47" s="22"/>
      <c r="GPO47" s="22"/>
      <c r="GPP47" s="22"/>
      <c r="GPQ47" s="22"/>
      <c r="GPR47" s="22"/>
      <c r="GPS47" s="22"/>
      <c r="GPT47" s="22"/>
      <c r="GPU47" s="22"/>
      <c r="GPV47" s="22"/>
      <c r="GPW47" s="22"/>
      <c r="GPX47" s="22"/>
      <c r="GPY47" s="22"/>
      <c r="GPZ47" s="22"/>
      <c r="GQA47" s="22"/>
      <c r="GQB47" s="22"/>
      <c r="GQC47" s="22"/>
      <c r="GQD47" s="22"/>
      <c r="GQE47" s="22"/>
      <c r="GQF47" s="22"/>
      <c r="GQG47" s="22"/>
      <c r="GQH47" s="22"/>
      <c r="GQI47" s="22"/>
      <c r="GQJ47" s="22"/>
      <c r="GQK47" s="22"/>
      <c r="GQL47" s="22"/>
      <c r="GQM47" s="22"/>
      <c r="GQN47" s="22"/>
      <c r="GQO47" s="22"/>
      <c r="GQP47" s="22"/>
      <c r="GQQ47" s="22"/>
      <c r="GQR47" s="22"/>
      <c r="GQS47" s="22"/>
      <c r="GQT47" s="22"/>
      <c r="GQU47" s="22"/>
      <c r="GQV47" s="22"/>
      <c r="GQW47" s="22"/>
      <c r="GQX47" s="22"/>
      <c r="GQY47" s="22"/>
      <c r="GQZ47" s="22"/>
      <c r="GRA47" s="22"/>
      <c r="GRB47" s="22"/>
      <c r="GRC47" s="22"/>
      <c r="GRD47" s="22"/>
      <c r="GRE47" s="22"/>
      <c r="GRF47" s="22"/>
      <c r="GRG47" s="22"/>
      <c r="GRH47" s="22"/>
      <c r="GRI47" s="22"/>
      <c r="GRJ47" s="22"/>
      <c r="GRK47" s="22"/>
      <c r="GRL47" s="22"/>
      <c r="GRM47" s="22"/>
      <c r="GRN47" s="22"/>
      <c r="GRO47" s="22"/>
      <c r="GRP47" s="22"/>
      <c r="GRQ47" s="22"/>
      <c r="GRR47" s="22"/>
      <c r="GRS47" s="22"/>
      <c r="GRT47" s="22"/>
      <c r="GRU47" s="22"/>
      <c r="GRV47" s="22"/>
      <c r="GRW47" s="22"/>
      <c r="GRX47" s="22"/>
      <c r="GRY47" s="22"/>
      <c r="GRZ47" s="22"/>
      <c r="GSA47" s="22"/>
      <c r="GSB47" s="22"/>
      <c r="GSC47" s="22"/>
      <c r="GSD47" s="22"/>
      <c r="GSE47" s="22"/>
      <c r="GSF47" s="22"/>
      <c r="GSG47" s="22"/>
      <c r="GSH47" s="22"/>
      <c r="GSI47" s="22"/>
      <c r="GSJ47" s="22"/>
      <c r="GSK47" s="22"/>
      <c r="GSL47" s="22"/>
      <c r="GSM47" s="22"/>
      <c r="GSN47" s="22"/>
      <c r="GSO47" s="22"/>
      <c r="GSP47" s="22"/>
      <c r="GSQ47" s="22"/>
      <c r="GSR47" s="22"/>
      <c r="GSS47" s="22"/>
      <c r="GST47" s="22"/>
      <c r="GSU47" s="22"/>
      <c r="GSV47" s="22"/>
      <c r="GSW47" s="22"/>
      <c r="GSX47" s="22"/>
      <c r="GSY47" s="22"/>
      <c r="GSZ47" s="22"/>
      <c r="GTA47" s="22"/>
      <c r="GTB47" s="22"/>
      <c r="GTC47" s="22"/>
      <c r="GTD47" s="22"/>
      <c r="GTE47" s="22"/>
      <c r="GTF47" s="22"/>
      <c r="GTG47" s="22"/>
      <c r="GTH47" s="22"/>
      <c r="GTI47" s="22"/>
      <c r="GTJ47" s="22"/>
      <c r="GTK47" s="22"/>
      <c r="GTL47" s="22"/>
      <c r="GTM47" s="22"/>
      <c r="GTN47" s="22"/>
      <c r="GTO47" s="22"/>
      <c r="GTP47" s="22"/>
      <c r="GTQ47" s="22"/>
      <c r="GTR47" s="22"/>
      <c r="GTS47" s="22"/>
      <c r="GTT47" s="22"/>
      <c r="GTU47" s="22"/>
      <c r="GTV47" s="22"/>
      <c r="GTW47" s="22"/>
      <c r="GTX47" s="22"/>
      <c r="GTY47" s="22"/>
      <c r="GTZ47" s="22"/>
      <c r="GUA47" s="22"/>
      <c r="GUB47" s="22"/>
      <c r="GUC47" s="22"/>
      <c r="GUD47" s="22"/>
      <c r="GUE47" s="22"/>
      <c r="GUF47" s="22"/>
      <c r="GUG47" s="22"/>
      <c r="GUH47" s="22"/>
      <c r="GUI47" s="22"/>
      <c r="GUJ47" s="22"/>
      <c r="GUK47" s="22"/>
      <c r="GUL47" s="22"/>
      <c r="GUM47" s="22"/>
      <c r="GUN47" s="22"/>
      <c r="GUO47" s="22"/>
      <c r="GUP47" s="22"/>
      <c r="GUQ47" s="22"/>
      <c r="GUR47" s="22"/>
      <c r="GUS47" s="22"/>
      <c r="GUT47" s="22"/>
      <c r="GUU47" s="22"/>
      <c r="GUV47" s="22"/>
      <c r="GUW47" s="22"/>
      <c r="GUX47" s="22"/>
      <c r="GUY47" s="22"/>
      <c r="GUZ47" s="22"/>
      <c r="GVA47" s="22"/>
      <c r="GVB47" s="22"/>
      <c r="GVC47" s="22"/>
      <c r="GVD47" s="22"/>
      <c r="GVE47" s="22"/>
      <c r="GVF47" s="22"/>
      <c r="GVG47" s="22"/>
      <c r="GVH47" s="22"/>
      <c r="GVI47" s="22"/>
      <c r="GVJ47" s="22"/>
      <c r="GVK47" s="22"/>
      <c r="GVL47" s="22"/>
      <c r="GVM47" s="22"/>
      <c r="GVN47" s="22"/>
      <c r="GVO47" s="22"/>
      <c r="GVP47" s="22"/>
      <c r="GVQ47" s="22"/>
      <c r="GVR47" s="22"/>
      <c r="GVS47" s="22"/>
      <c r="GVT47" s="22"/>
      <c r="GVU47" s="22"/>
      <c r="GVV47" s="22"/>
      <c r="GVW47" s="22"/>
      <c r="GVX47" s="22"/>
      <c r="GVY47" s="22"/>
      <c r="GVZ47" s="22"/>
      <c r="GWA47" s="22"/>
      <c r="GWB47" s="22"/>
      <c r="GWC47" s="22"/>
      <c r="GWD47" s="22"/>
      <c r="GWE47" s="22"/>
      <c r="GWF47" s="22"/>
      <c r="GWG47" s="22"/>
      <c r="GWH47" s="22"/>
      <c r="GWI47" s="22"/>
      <c r="GWJ47" s="22"/>
      <c r="GWK47" s="22"/>
      <c r="GWL47" s="22"/>
      <c r="GWM47" s="22"/>
      <c r="GWN47" s="22"/>
      <c r="GWO47" s="22"/>
      <c r="GWP47" s="22"/>
      <c r="GWQ47" s="22"/>
      <c r="GWR47" s="22"/>
      <c r="GWS47" s="22"/>
      <c r="GWT47" s="22"/>
      <c r="GWU47" s="22"/>
      <c r="GWV47" s="22"/>
      <c r="GWW47" s="22"/>
      <c r="GWX47" s="22"/>
      <c r="GWY47" s="22"/>
      <c r="GWZ47" s="22"/>
      <c r="GXA47" s="22"/>
      <c r="GXB47" s="22"/>
      <c r="GXC47" s="22"/>
      <c r="GXD47" s="22"/>
      <c r="GXE47" s="22"/>
      <c r="GXF47" s="22"/>
      <c r="GXG47" s="22"/>
      <c r="GXH47" s="22"/>
      <c r="GXI47" s="22"/>
      <c r="GXJ47" s="22"/>
      <c r="GXK47" s="22"/>
      <c r="GXL47" s="22"/>
      <c r="GXM47" s="22"/>
      <c r="GXN47" s="22"/>
      <c r="GXO47" s="22"/>
      <c r="GXP47" s="22"/>
      <c r="GXQ47" s="22"/>
      <c r="GXR47" s="22"/>
      <c r="GXS47" s="22"/>
      <c r="GXT47" s="22"/>
      <c r="GXU47" s="22"/>
      <c r="GXV47" s="22"/>
      <c r="GXW47" s="22"/>
      <c r="GXX47" s="22"/>
      <c r="GXY47" s="22"/>
      <c r="GXZ47" s="22"/>
      <c r="GYA47" s="22"/>
      <c r="GYB47" s="22"/>
      <c r="GYC47" s="22"/>
      <c r="GYD47" s="22"/>
      <c r="GYE47" s="22"/>
      <c r="GYF47" s="22"/>
      <c r="GYG47" s="22"/>
      <c r="GYH47" s="22"/>
      <c r="GYI47" s="22"/>
      <c r="GYJ47" s="22"/>
      <c r="GYK47" s="22"/>
      <c r="GYL47" s="22"/>
      <c r="GYM47" s="22"/>
      <c r="GYN47" s="22"/>
      <c r="GYO47" s="22"/>
      <c r="GYP47" s="22"/>
      <c r="GYQ47" s="22"/>
      <c r="GYR47" s="22"/>
      <c r="GYS47" s="22"/>
      <c r="GYT47" s="22"/>
      <c r="GYU47" s="22"/>
      <c r="GYV47" s="22"/>
      <c r="GYW47" s="22"/>
      <c r="GYX47" s="22"/>
      <c r="GYY47" s="22"/>
      <c r="GYZ47" s="22"/>
      <c r="GZA47" s="22"/>
      <c r="GZB47" s="22"/>
      <c r="GZC47" s="22"/>
      <c r="GZD47" s="22"/>
      <c r="GZE47" s="22"/>
      <c r="GZF47" s="22"/>
      <c r="GZG47" s="22"/>
      <c r="GZH47" s="22"/>
      <c r="GZI47" s="22"/>
      <c r="GZJ47" s="22"/>
      <c r="GZK47" s="22"/>
      <c r="GZL47" s="22"/>
      <c r="GZM47" s="22"/>
      <c r="GZN47" s="22"/>
      <c r="GZO47" s="22"/>
      <c r="GZP47" s="22"/>
      <c r="GZQ47" s="22"/>
      <c r="GZR47" s="22"/>
      <c r="GZS47" s="22"/>
      <c r="GZT47" s="22"/>
      <c r="GZU47" s="22"/>
      <c r="GZV47" s="22"/>
      <c r="GZW47" s="22"/>
      <c r="GZX47" s="22"/>
      <c r="GZY47" s="22"/>
      <c r="GZZ47" s="22"/>
      <c r="HAA47" s="22"/>
      <c r="HAB47" s="22"/>
      <c r="HAC47" s="22"/>
      <c r="HAD47" s="22"/>
      <c r="HAE47" s="22"/>
      <c r="HAF47" s="22"/>
      <c r="HAG47" s="22"/>
      <c r="HAH47" s="22"/>
      <c r="HAI47" s="22"/>
      <c r="HAJ47" s="22"/>
      <c r="HAK47" s="22"/>
      <c r="HAL47" s="22"/>
      <c r="HAM47" s="22"/>
      <c r="HAN47" s="22"/>
      <c r="HAO47" s="22"/>
      <c r="HAP47" s="22"/>
      <c r="HAQ47" s="22"/>
      <c r="HAR47" s="22"/>
      <c r="HAS47" s="22"/>
      <c r="HAT47" s="22"/>
      <c r="HAU47" s="22"/>
      <c r="HAV47" s="22"/>
      <c r="HAW47" s="22"/>
      <c r="HAX47" s="22"/>
      <c r="HAY47" s="22"/>
      <c r="HAZ47" s="22"/>
      <c r="HBA47" s="22"/>
      <c r="HBB47" s="22"/>
      <c r="HBC47" s="22"/>
      <c r="HBD47" s="22"/>
      <c r="HBE47" s="22"/>
      <c r="HBF47" s="22"/>
      <c r="HBG47" s="22"/>
      <c r="HBH47" s="22"/>
      <c r="HBI47" s="22"/>
      <c r="HBJ47" s="22"/>
      <c r="HBK47" s="22"/>
      <c r="HBL47" s="22"/>
      <c r="HBM47" s="22"/>
      <c r="HBN47" s="22"/>
      <c r="HBO47" s="22"/>
      <c r="HBP47" s="22"/>
      <c r="HBQ47" s="22"/>
      <c r="HBR47" s="22"/>
      <c r="HBS47" s="22"/>
      <c r="HBT47" s="22"/>
      <c r="HBU47" s="22"/>
      <c r="HBV47" s="22"/>
      <c r="HBW47" s="22"/>
      <c r="HBX47" s="22"/>
      <c r="HBY47" s="22"/>
      <c r="HBZ47" s="22"/>
      <c r="HCA47" s="22"/>
      <c r="HCB47" s="22"/>
      <c r="HCC47" s="22"/>
      <c r="HCD47" s="22"/>
      <c r="HCE47" s="22"/>
      <c r="HCF47" s="22"/>
      <c r="HCG47" s="22"/>
      <c r="HCH47" s="22"/>
      <c r="HCI47" s="22"/>
      <c r="HCJ47" s="22"/>
      <c r="HCK47" s="22"/>
      <c r="HCL47" s="22"/>
      <c r="HCM47" s="22"/>
      <c r="HCN47" s="22"/>
      <c r="HCO47" s="22"/>
      <c r="HCP47" s="22"/>
      <c r="HCQ47" s="22"/>
      <c r="HCR47" s="22"/>
      <c r="HCS47" s="22"/>
      <c r="HCT47" s="22"/>
      <c r="HCU47" s="22"/>
      <c r="HCV47" s="22"/>
      <c r="HCW47" s="22"/>
      <c r="HCX47" s="22"/>
      <c r="HCY47" s="22"/>
      <c r="HCZ47" s="22"/>
      <c r="HDA47" s="22"/>
      <c r="HDB47" s="22"/>
      <c r="HDC47" s="22"/>
      <c r="HDD47" s="22"/>
      <c r="HDE47" s="22"/>
      <c r="HDF47" s="22"/>
      <c r="HDG47" s="22"/>
      <c r="HDH47" s="22"/>
      <c r="HDI47" s="22"/>
      <c r="HDJ47" s="22"/>
      <c r="HDK47" s="22"/>
      <c r="HDL47" s="22"/>
      <c r="HDM47" s="22"/>
      <c r="HDN47" s="22"/>
      <c r="HDO47" s="22"/>
      <c r="HDP47" s="22"/>
      <c r="HDQ47" s="22"/>
      <c r="HDR47" s="22"/>
      <c r="HDS47" s="22"/>
      <c r="HDT47" s="22"/>
      <c r="HDU47" s="22"/>
      <c r="HDV47" s="22"/>
      <c r="HDW47" s="22"/>
      <c r="HDX47" s="22"/>
      <c r="HDY47" s="22"/>
      <c r="HDZ47" s="22"/>
      <c r="HEA47" s="22"/>
      <c r="HEB47" s="22"/>
      <c r="HEC47" s="22"/>
      <c r="HED47" s="22"/>
      <c r="HEE47" s="22"/>
      <c r="HEF47" s="22"/>
      <c r="HEG47" s="22"/>
      <c r="HEH47" s="22"/>
      <c r="HEI47" s="22"/>
      <c r="HEJ47" s="22"/>
      <c r="HEK47" s="22"/>
      <c r="HEL47" s="22"/>
      <c r="HEM47" s="22"/>
      <c r="HEN47" s="22"/>
      <c r="HEO47" s="22"/>
      <c r="HEP47" s="22"/>
      <c r="HEQ47" s="22"/>
      <c r="HER47" s="22"/>
      <c r="HES47" s="22"/>
      <c r="HET47" s="22"/>
      <c r="HEU47" s="22"/>
      <c r="HEV47" s="22"/>
      <c r="HEW47" s="22"/>
      <c r="HEX47" s="22"/>
      <c r="HEY47" s="22"/>
      <c r="HEZ47" s="22"/>
      <c r="HFA47" s="22"/>
      <c r="HFB47" s="22"/>
      <c r="HFC47" s="22"/>
      <c r="HFD47" s="22"/>
      <c r="HFE47" s="22"/>
      <c r="HFF47" s="22"/>
      <c r="HFG47" s="22"/>
      <c r="HFH47" s="22"/>
      <c r="HFI47" s="22"/>
      <c r="HFJ47" s="22"/>
      <c r="HFK47" s="22"/>
      <c r="HFL47" s="22"/>
      <c r="HFM47" s="22"/>
      <c r="HFN47" s="22"/>
      <c r="HFO47" s="22"/>
      <c r="HFP47" s="22"/>
      <c r="HFQ47" s="22"/>
      <c r="HFR47" s="22"/>
      <c r="HFS47" s="22"/>
      <c r="HFT47" s="22"/>
      <c r="HFU47" s="22"/>
      <c r="HFV47" s="22"/>
      <c r="HFW47" s="22"/>
      <c r="HFX47" s="22"/>
      <c r="HFY47" s="22"/>
      <c r="HFZ47" s="22"/>
      <c r="HGA47" s="22"/>
      <c r="HGB47" s="22"/>
      <c r="HGC47" s="22"/>
      <c r="HGD47" s="22"/>
      <c r="HGE47" s="22"/>
      <c r="HGF47" s="22"/>
      <c r="HGG47" s="22"/>
      <c r="HGH47" s="22"/>
      <c r="HGI47" s="22"/>
      <c r="HGJ47" s="22"/>
      <c r="HGK47" s="22"/>
      <c r="HGL47" s="22"/>
      <c r="HGM47" s="22"/>
      <c r="HGN47" s="22"/>
      <c r="HGO47" s="22"/>
      <c r="HGP47" s="22"/>
      <c r="HGQ47" s="22"/>
      <c r="HGR47" s="22"/>
      <c r="HGS47" s="22"/>
      <c r="HGT47" s="22"/>
      <c r="HGU47" s="22"/>
      <c r="HGV47" s="22"/>
      <c r="HGW47" s="22"/>
      <c r="HGX47" s="22"/>
      <c r="HGY47" s="22"/>
      <c r="HGZ47" s="22"/>
      <c r="HHA47" s="22"/>
      <c r="HHB47" s="22"/>
      <c r="HHC47" s="22"/>
      <c r="HHD47" s="22"/>
      <c r="HHE47" s="22"/>
      <c r="HHF47" s="22"/>
      <c r="HHG47" s="22"/>
      <c r="HHH47" s="22"/>
      <c r="HHI47" s="22"/>
      <c r="HHJ47" s="22"/>
      <c r="HHK47" s="22"/>
      <c r="HHL47" s="22"/>
      <c r="HHM47" s="22"/>
      <c r="HHN47" s="22"/>
      <c r="HHO47" s="22"/>
      <c r="HHP47" s="22"/>
      <c r="HHQ47" s="22"/>
      <c r="HHR47" s="22"/>
      <c r="HHS47" s="22"/>
      <c r="HHT47" s="22"/>
      <c r="HHU47" s="22"/>
      <c r="HHV47" s="22"/>
      <c r="HHW47" s="22"/>
      <c r="HHX47" s="22"/>
      <c r="HHY47" s="22"/>
      <c r="HHZ47" s="22"/>
      <c r="HIA47" s="22"/>
      <c r="HIB47" s="22"/>
      <c r="HIC47" s="22"/>
      <c r="HID47" s="22"/>
      <c r="HIE47" s="22"/>
      <c r="HIF47" s="22"/>
      <c r="HIG47" s="22"/>
      <c r="HIH47" s="22"/>
      <c r="HII47" s="22"/>
      <c r="HIJ47" s="22"/>
      <c r="HIK47" s="22"/>
      <c r="HIL47" s="22"/>
      <c r="HIM47" s="22"/>
      <c r="HIN47" s="22"/>
      <c r="HIO47" s="22"/>
      <c r="HIP47" s="22"/>
      <c r="HIQ47" s="22"/>
      <c r="HIR47" s="22"/>
      <c r="HIS47" s="22"/>
      <c r="HIT47" s="22"/>
      <c r="HIU47" s="22"/>
      <c r="HIV47" s="22"/>
      <c r="HIW47" s="22"/>
      <c r="HIX47" s="22"/>
      <c r="HIY47" s="22"/>
      <c r="HIZ47" s="22"/>
      <c r="HJA47" s="22"/>
      <c r="HJB47" s="22"/>
      <c r="HJC47" s="22"/>
      <c r="HJD47" s="22"/>
      <c r="HJE47" s="22"/>
      <c r="HJF47" s="22"/>
      <c r="HJG47" s="22"/>
      <c r="HJH47" s="22"/>
      <c r="HJI47" s="22"/>
      <c r="HJJ47" s="22"/>
      <c r="HJK47" s="22"/>
      <c r="HJL47" s="22"/>
      <c r="HJM47" s="22"/>
      <c r="HJN47" s="22"/>
      <c r="HJO47" s="22"/>
      <c r="HJP47" s="22"/>
      <c r="HJQ47" s="22"/>
      <c r="HJR47" s="22"/>
      <c r="HJS47" s="22"/>
      <c r="HJT47" s="22"/>
      <c r="HJU47" s="22"/>
      <c r="HJV47" s="22"/>
      <c r="HJW47" s="22"/>
      <c r="HJX47" s="22"/>
      <c r="HJY47" s="22"/>
      <c r="HJZ47" s="22"/>
      <c r="HKA47" s="22"/>
      <c r="HKB47" s="22"/>
      <c r="HKC47" s="22"/>
      <c r="HKD47" s="22"/>
      <c r="HKE47" s="22"/>
      <c r="HKF47" s="22"/>
      <c r="HKG47" s="22"/>
      <c r="HKH47" s="22"/>
      <c r="HKI47" s="22"/>
      <c r="HKJ47" s="22"/>
      <c r="HKK47" s="22"/>
      <c r="HKL47" s="22"/>
      <c r="HKM47" s="22"/>
      <c r="HKN47" s="22"/>
      <c r="HKO47" s="22"/>
      <c r="HKP47" s="22"/>
      <c r="HKQ47" s="22"/>
      <c r="HKR47" s="22"/>
      <c r="HKS47" s="22"/>
      <c r="HKT47" s="22"/>
      <c r="HKU47" s="22"/>
      <c r="HKV47" s="22"/>
      <c r="HKW47" s="22"/>
      <c r="HKX47" s="22"/>
      <c r="HKY47" s="22"/>
      <c r="HKZ47" s="22"/>
      <c r="HLA47" s="22"/>
      <c r="HLB47" s="22"/>
      <c r="HLC47" s="22"/>
      <c r="HLD47" s="22"/>
      <c r="HLE47" s="22"/>
      <c r="HLF47" s="22"/>
      <c r="HLG47" s="22"/>
      <c r="HLH47" s="22"/>
      <c r="HLI47" s="22"/>
      <c r="HLJ47" s="22"/>
      <c r="HLK47" s="22"/>
      <c r="HLL47" s="22"/>
      <c r="HLM47" s="22"/>
      <c r="HLN47" s="22"/>
      <c r="HLO47" s="22"/>
      <c r="HLP47" s="22"/>
      <c r="HLQ47" s="22"/>
      <c r="HLR47" s="22"/>
      <c r="HLS47" s="22"/>
      <c r="HLT47" s="22"/>
      <c r="HLU47" s="22"/>
      <c r="HLV47" s="22"/>
      <c r="HLW47" s="22"/>
      <c r="HLX47" s="22"/>
      <c r="HLY47" s="22"/>
      <c r="HLZ47" s="22"/>
      <c r="HMA47" s="22"/>
      <c r="HMB47" s="22"/>
      <c r="HMC47" s="22"/>
      <c r="HMD47" s="22"/>
      <c r="HME47" s="22"/>
      <c r="HMF47" s="22"/>
      <c r="HMG47" s="22"/>
      <c r="HMH47" s="22"/>
      <c r="HMI47" s="22"/>
      <c r="HMJ47" s="22"/>
      <c r="HMK47" s="22"/>
      <c r="HML47" s="22"/>
      <c r="HMM47" s="22"/>
      <c r="HMN47" s="22"/>
      <c r="HMO47" s="22"/>
      <c r="HMP47" s="22"/>
      <c r="HMQ47" s="22"/>
      <c r="HMR47" s="22"/>
      <c r="HMS47" s="22"/>
      <c r="HMT47" s="22"/>
      <c r="HMU47" s="22"/>
      <c r="HMV47" s="22"/>
      <c r="HMW47" s="22"/>
      <c r="HMX47" s="22"/>
      <c r="HMY47" s="22"/>
      <c r="HMZ47" s="22"/>
      <c r="HNA47" s="22"/>
      <c r="HNB47" s="22"/>
      <c r="HNC47" s="22"/>
      <c r="HND47" s="22"/>
      <c r="HNE47" s="22"/>
      <c r="HNF47" s="22"/>
      <c r="HNG47" s="22"/>
      <c r="HNH47" s="22"/>
      <c r="HNI47" s="22"/>
      <c r="HNJ47" s="22"/>
      <c r="HNK47" s="22"/>
      <c r="HNL47" s="22"/>
      <c r="HNM47" s="22"/>
      <c r="HNN47" s="22"/>
      <c r="HNO47" s="22"/>
      <c r="HNP47" s="22"/>
      <c r="HNQ47" s="22"/>
      <c r="HNR47" s="22"/>
      <c r="HNS47" s="22"/>
      <c r="HNT47" s="22"/>
      <c r="HNU47" s="22"/>
      <c r="HNV47" s="22"/>
      <c r="HNW47" s="22"/>
      <c r="HNX47" s="22"/>
      <c r="HNY47" s="22"/>
      <c r="HNZ47" s="22"/>
      <c r="HOA47" s="22"/>
      <c r="HOB47" s="22"/>
      <c r="HOC47" s="22"/>
      <c r="HOD47" s="22"/>
      <c r="HOE47" s="22"/>
      <c r="HOF47" s="22"/>
      <c r="HOG47" s="22"/>
      <c r="HOH47" s="22"/>
      <c r="HOI47" s="22"/>
      <c r="HOJ47" s="22"/>
      <c r="HOK47" s="22"/>
      <c r="HOL47" s="22"/>
      <c r="HOM47" s="22"/>
      <c r="HON47" s="22"/>
      <c r="HOO47" s="22"/>
      <c r="HOP47" s="22"/>
      <c r="HOQ47" s="22"/>
      <c r="HOR47" s="22"/>
      <c r="HOS47" s="22"/>
      <c r="HOT47" s="22"/>
      <c r="HOU47" s="22"/>
      <c r="HOV47" s="22"/>
      <c r="HOW47" s="22"/>
      <c r="HOX47" s="22"/>
      <c r="HOY47" s="22"/>
      <c r="HOZ47" s="22"/>
      <c r="HPA47" s="22"/>
      <c r="HPB47" s="22"/>
      <c r="HPC47" s="22"/>
      <c r="HPD47" s="22"/>
      <c r="HPE47" s="22"/>
      <c r="HPF47" s="22"/>
      <c r="HPG47" s="22"/>
      <c r="HPH47" s="22"/>
      <c r="HPI47" s="22"/>
      <c r="HPJ47" s="22"/>
      <c r="HPK47" s="22"/>
      <c r="HPL47" s="22"/>
      <c r="HPM47" s="22"/>
      <c r="HPN47" s="22"/>
      <c r="HPO47" s="22"/>
      <c r="HPP47" s="22"/>
      <c r="HPQ47" s="22"/>
      <c r="HPR47" s="22"/>
      <c r="HPS47" s="22"/>
      <c r="HPT47" s="22"/>
      <c r="HPU47" s="22"/>
      <c r="HPV47" s="22"/>
      <c r="HPW47" s="22"/>
      <c r="HPX47" s="22"/>
      <c r="HPY47" s="22"/>
      <c r="HPZ47" s="22"/>
      <c r="HQA47" s="22"/>
      <c r="HQB47" s="22"/>
      <c r="HQC47" s="22"/>
      <c r="HQD47" s="22"/>
      <c r="HQE47" s="22"/>
      <c r="HQF47" s="22"/>
      <c r="HQG47" s="22"/>
      <c r="HQH47" s="22"/>
      <c r="HQI47" s="22"/>
      <c r="HQJ47" s="22"/>
      <c r="HQK47" s="22"/>
      <c r="HQL47" s="22"/>
      <c r="HQM47" s="22"/>
      <c r="HQN47" s="22"/>
      <c r="HQO47" s="22"/>
      <c r="HQP47" s="22"/>
      <c r="HQQ47" s="22"/>
      <c r="HQR47" s="22"/>
      <c r="HQS47" s="22"/>
      <c r="HQT47" s="22"/>
      <c r="HQU47" s="22"/>
      <c r="HQV47" s="22"/>
      <c r="HQW47" s="22"/>
      <c r="HQX47" s="22"/>
      <c r="HQY47" s="22"/>
      <c r="HQZ47" s="22"/>
      <c r="HRA47" s="22"/>
      <c r="HRB47" s="22"/>
      <c r="HRC47" s="22"/>
      <c r="HRD47" s="22"/>
      <c r="HRE47" s="22"/>
      <c r="HRF47" s="22"/>
      <c r="HRG47" s="22"/>
      <c r="HRH47" s="22"/>
      <c r="HRI47" s="22"/>
      <c r="HRJ47" s="22"/>
      <c r="HRK47" s="22"/>
      <c r="HRL47" s="22"/>
      <c r="HRM47" s="22"/>
      <c r="HRN47" s="22"/>
      <c r="HRO47" s="22"/>
      <c r="HRP47" s="22"/>
      <c r="HRQ47" s="22"/>
      <c r="HRR47" s="22"/>
      <c r="HRS47" s="22"/>
      <c r="HRT47" s="22"/>
      <c r="HRU47" s="22"/>
      <c r="HRV47" s="22"/>
      <c r="HRW47" s="22"/>
      <c r="HRX47" s="22"/>
      <c r="HRY47" s="22"/>
      <c r="HRZ47" s="22"/>
      <c r="HSA47" s="22"/>
      <c r="HSB47" s="22"/>
      <c r="HSC47" s="22"/>
      <c r="HSD47" s="22"/>
      <c r="HSE47" s="22"/>
      <c r="HSF47" s="22"/>
      <c r="HSG47" s="22"/>
      <c r="HSH47" s="22"/>
      <c r="HSI47" s="22"/>
      <c r="HSJ47" s="22"/>
      <c r="HSK47" s="22"/>
      <c r="HSL47" s="22"/>
      <c r="HSM47" s="22"/>
      <c r="HSN47" s="22"/>
      <c r="HSO47" s="22"/>
      <c r="HSP47" s="22"/>
      <c r="HSQ47" s="22"/>
      <c r="HSR47" s="22"/>
      <c r="HSS47" s="22"/>
      <c r="HST47" s="22"/>
      <c r="HSU47" s="22"/>
      <c r="HSV47" s="22"/>
      <c r="HSW47" s="22"/>
      <c r="HSX47" s="22"/>
      <c r="HSY47" s="22"/>
      <c r="HSZ47" s="22"/>
      <c r="HTA47" s="22"/>
      <c r="HTB47" s="22"/>
      <c r="HTC47" s="22"/>
      <c r="HTD47" s="22"/>
      <c r="HTE47" s="22"/>
      <c r="HTF47" s="22"/>
      <c r="HTG47" s="22"/>
      <c r="HTH47" s="22"/>
      <c r="HTI47" s="22"/>
      <c r="HTJ47" s="22"/>
      <c r="HTK47" s="22"/>
      <c r="HTL47" s="22"/>
      <c r="HTM47" s="22"/>
      <c r="HTN47" s="22"/>
      <c r="HTO47" s="22"/>
      <c r="HTP47" s="22"/>
      <c r="HTQ47" s="22"/>
      <c r="HTR47" s="22"/>
      <c r="HTS47" s="22"/>
      <c r="HTT47" s="22"/>
      <c r="HTU47" s="22"/>
      <c r="HTV47" s="22"/>
      <c r="HTW47" s="22"/>
      <c r="HTX47" s="22"/>
      <c r="HTY47" s="22"/>
      <c r="HTZ47" s="22"/>
      <c r="HUA47" s="22"/>
      <c r="HUB47" s="22"/>
      <c r="HUC47" s="22"/>
      <c r="HUD47" s="22"/>
      <c r="HUE47" s="22"/>
      <c r="HUF47" s="22"/>
      <c r="HUG47" s="22"/>
      <c r="HUH47" s="22"/>
      <c r="HUI47" s="22"/>
      <c r="HUJ47" s="22"/>
      <c r="HUK47" s="22"/>
      <c r="HUL47" s="22"/>
      <c r="HUM47" s="22"/>
      <c r="HUN47" s="22"/>
      <c r="HUO47" s="22"/>
      <c r="HUP47" s="22"/>
      <c r="HUQ47" s="22"/>
      <c r="HUR47" s="22"/>
      <c r="HUS47" s="22"/>
      <c r="HUT47" s="22"/>
      <c r="HUU47" s="22"/>
      <c r="HUV47" s="22"/>
      <c r="HUW47" s="22"/>
      <c r="HUX47" s="22"/>
      <c r="HUY47" s="22"/>
      <c r="HUZ47" s="22"/>
      <c r="HVA47" s="22"/>
      <c r="HVB47" s="22"/>
      <c r="HVC47" s="22"/>
      <c r="HVD47" s="22"/>
      <c r="HVE47" s="22"/>
      <c r="HVF47" s="22"/>
      <c r="HVG47" s="22"/>
      <c r="HVH47" s="22"/>
      <c r="HVI47" s="22"/>
      <c r="HVJ47" s="22"/>
      <c r="HVK47" s="22"/>
      <c r="HVL47" s="22"/>
      <c r="HVM47" s="22"/>
      <c r="HVN47" s="22"/>
      <c r="HVO47" s="22"/>
      <c r="HVP47" s="22"/>
      <c r="HVQ47" s="22"/>
      <c r="HVR47" s="22"/>
      <c r="HVS47" s="22"/>
      <c r="HVT47" s="22"/>
      <c r="HVU47" s="22"/>
      <c r="HVV47" s="22"/>
      <c r="HVW47" s="22"/>
      <c r="HVX47" s="22"/>
      <c r="HVY47" s="22"/>
      <c r="HVZ47" s="22"/>
      <c r="HWA47" s="22"/>
      <c r="HWB47" s="22"/>
      <c r="HWC47" s="22"/>
      <c r="HWD47" s="22"/>
      <c r="HWE47" s="22"/>
      <c r="HWF47" s="22"/>
      <c r="HWG47" s="22"/>
      <c r="HWH47" s="22"/>
      <c r="HWI47" s="22"/>
      <c r="HWJ47" s="22"/>
      <c r="HWK47" s="22"/>
      <c r="HWL47" s="22"/>
      <c r="HWM47" s="22"/>
      <c r="HWN47" s="22"/>
      <c r="HWO47" s="22"/>
      <c r="HWP47" s="22"/>
      <c r="HWQ47" s="22"/>
      <c r="HWR47" s="22"/>
      <c r="HWS47" s="22"/>
      <c r="HWT47" s="22"/>
      <c r="HWU47" s="22"/>
      <c r="HWV47" s="22"/>
      <c r="HWW47" s="22"/>
      <c r="HWX47" s="22"/>
      <c r="HWY47" s="22"/>
      <c r="HWZ47" s="22"/>
      <c r="HXA47" s="22"/>
      <c r="HXB47" s="22"/>
      <c r="HXC47" s="22"/>
      <c r="HXD47" s="22"/>
      <c r="HXE47" s="22"/>
      <c r="HXF47" s="22"/>
      <c r="HXG47" s="22"/>
      <c r="HXH47" s="22"/>
      <c r="HXI47" s="22"/>
      <c r="HXJ47" s="22"/>
      <c r="HXK47" s="22"/>
      <c r="HXL47" s="22"/>
      <c r="HXM47" s="22"/>
      <c r="HXN47" s="22"/>
      <c r="HXO47" s="22"/>
      <c r="HXP47" s="22"/>
      <c r="HXQ47" s="22"/>
      <c r="HXR47" s="22"/>
      <c r="HXS47" s="22"/>
      <c r="HXT47" s="22"/>
      <c r="HXU47" s="22"/>
      <c r="HXV47" s="22"/>
      <c r="HXW47" s="22"/>
      <c r="HXX47" s="22"/>
      <c r="HXY47" s="22"/>
      <c r="HXZ47" s="22"/>
      <c r="HYA47" s="22"/>
      <c r="HYB47" s="22"/>
      <c r="HYC47" s="22"/>
      <c r="HYD47" s="22"/>
      <c r="HYE47" s="22"/>
      <c r="HYF47" s="22"/>
      <c r="HYG47" s="22"/>
      <c r="HYH47" s="22"/>
      <c r="HYI47" s="22"/>
      <c r="HYJ47" s="22"/>
      <c r="HYK47" s="22"/>
      <c r="HYL47" s="22"/>
      <c r="HYM47" s="22"/>
      <c r="HYN47" s="22"/>
      <c r="HYO47" s="22"/>
      <c r="HYP47" s="22"/>
      <c r="HYQ47" s="22"/>
      <c r="HYR47" s="22"/>
      <c r="HYS47" s="22"/>
      <c r="HYT47" s="22"/>
      <c r="HYU47" s="22"/>
      <c r="HYV47" s="22"/>
      <c r="HYW47" s="22"/>
      <c r="HYX47" s="22"/>
      <c r="HYY47" s="22"/>
      <c r="HYZ47" s="22"/>
      <c r="HZA47" s="22"/>
      <c r="HZB47" s="22"/>
      <c r="HZC47" s="22"/>
      <c r="HZD47" s="22"/>
      <c r="HZE47" s="22"/>
      <c r="HZF47" s="22"/>
      <c r="HZG47" s="22"/>
      <c r="HZH47" s="22"/>
      <c r="HZI47" s="22"/>
      <c r="HZJ47" s="22"/>
      <c r="HZK47" s="22"/>
      <c r="HZL47" s="22"/>
      <c r="HZM47" s="22"/>
      <c r="HZN47" s="22"/>
      <c r="HZO47" s="22"/>
      <c r="HZP47" s="22"/>
      <c r="HZQ47" s="22"/>
      <c r="HZR47" s="22"/>
      <c r="HZS47" s="22"/>
      <c r="HZT47" s="22"/>
      <c r="HZU47" s="22"/>
      <c r="HZV47" s="22"/>
      <c r="HZW47" s="22"/>
      <c r="HZX47" s="22"/>
      <c r="HZY47" s="22"/>
      <c r="HZZ47" s="22"/>
      <c r="IAA47" s="22"/>
      <c r="IAB47" s="22"/>
      <c r="IAC47" s="22"/>
      <c r="IAD47" s="22"/>
      <c r="IAE47" s="22"/>
      <c r="IAF47" s="22"/>
      <c r="IAG47" s="22"/>
      <c r="IAH47" s="22"/>
      <c r="IAI47" s="22"/>
      <c r="IAJ47" s="22"/>
      <c r="IAK47" s="22"/>
      <c r="IAL47" s="22"/>
      <c r="IAM47" s="22"/>
      <c r="IAN47" s="22"/>
      <c r="IAO47" s="22"/>
      <c r="IAP47" s="22"/>
      <c r="IAQ47" s="22"/>
      <c r="IAR47" s="22"/>
      <c r="IAS47" s="22"/>
      <c r="IAT47" s="22"/>
      <c r="IAU47" s="22"/>
      <c r="IAV47" s="22"/>
      <c r="IAW47" s="22"/>
      <c r="IAX47" s="22"/>
      <c r="IAY47" s="22"/>
      <c r="IAZ47" s="22"/>
      <c r="IBA47" s="22"/>
      <c r="IBB47" s="22"/>
      <c r="IBC47" s="22"/>
      <c r="IBD47" s="22"/>
      <c r="IBE47" s="22"/>
      <c r="IBF47" s="22"/>
      <c r="IBG47" s="22"/>
      <c r="IBH47" s="22"/>
      <c r="IBI47" s="22"/>
      <c r="IBJ47" s="22"/>
      <c r="IBK47" s="22"/>
      <c r="IBL47" s="22"/>
      <c r="IBM47" s="22"/>
      <c r="IBN47" s="22"/>
      <c r="IBO47" s="22"/>
      <c r="IBP47" s="22"/>
      <c r="IBQ47" s="22"/>
      <c r="IBR47" s="22"/>
      <c r="IBS47" s="22"/>
      <c r="IBT47" s="22"/>
      <c r="IBU47" s="22"/>
      <c r="IBV47" s="22"/>
      <c r="IBW47" s="22"/>
      <c r="IBX47" s="22"/>
      <c r="IBY47" s="22"/>
      <c r="IBZ47" s="22"/>
      <c r="ICA47" s="22"/>
      <c r="ICB47" s="22"/>
      <c r="ICC47" s="22"/>
      <c r="ICD47" s="22"/>
      <c r="ICE47" s="22"/>
      <c r="ICF47" s="22"/>
      <c r="ICG47" s="22"/>
      <c r="ICH47" s="22"/>
      <c r="ICI47" s="22"/>
      <c r="ICJ47" s="22"/>
      <c r="ICK47" s="22"/>
      <c r="ICL47" s="22"/>
      <c r="ICM47" s="22"/>
      <c r="ICN47" s="22"/>
      <c r="ICO47" s="22"/>
      <c r="ICP47" s="22"/>
      <c r="ICQ47" s="22"/>
      <c r="ICR47" s="22"/>
      <c r="ICS47" s="22"/>
      <c r="ICT47" s="22"/>
      <c r="ICU47" s="22"/>
      <c r="ICV47" s="22"/>
      <c r="ICW47" s="22"/>
      <c r="ICX47" s="22"/>
      <c r="ICY47" s="22"/>
      <c r="ICZ47" s="22"/>
      <c r="IDA47" s="22"/>
      <c r="IDB47" s="22"/>
      <c r="IDC47" s="22"/>
      <c r="IDD47" s="22"/>
      <c r="IDE47" s="22"/>
      <c r="IDF47" s="22"/>
      <c r="IDG47" s="22"/>
      <c r="IDH47" s="22"/>
      <c r="IDI47" s="22"/>
      <c r="IDJ47" s="22"/>
      <c r="IDK47" s="22"/>
      <c r="IDL47" s="22"/>
      <c r="IDM47" s="22"/>
      <c r="IDN47" s="22"/>
      <c r="IDO47" s="22"/>
      <c r="IDP47" s="22"/>
      <c r="IDQ47" s="22"/>
      <c r="IDR47" s="22"/>
      <c r="IDS47" s="22"/>
      <c r="IDT47" s="22"/>
      <c r="IDU47" s="22"/>
      <c r="IDV47" s="22"/>
      <c r="IDW47" s="22"/>
      <c r="IDX47" s="22"/>
      <c r="IDY47" s="22"/>
      <c r="IDZ47" s="22"/>
      <c r="IEA47" s="22"/>
      <c r="IEB47" s="22"/>
      <c r="IEC47" s="22"/>
      <c r="IED47" s="22"/>
      <c r="IEE47" s="22"/>
      <c r="IEF47" s="22"/>
      <c r="IEG47" s="22"/>
      <c r="IEH47" s="22"/>
      <c r="IEI47" s="22"/>
      <c r="IEJ47" s="22"/>
      <c r="IEK47" s="22"/>
      <c r="IEL47" s="22"/>
      <c r="IEM47" s="22"/>
      <c r="IEN47" s="22"/>
      <c r="IEO47" s="22"/>
      <c r="IEP47" s="22"/>
      <c r="IEQ47" s="22"/>
      <c r="IER47" s="22"/>
      <c r="IES47" s="22"/>
      <c r="IET47" s="22"/>
      <c r="IEU47" s="22"/>
      <c r="IEV47" s="22"/>
      <c r="IEW47" s="22"/>
      <c r="IEX47" s="22"/>
      <c r="IEY47" s="22"/>
      <c r="IEZ47" s="22"/>
      <c r="IFA47" s="22"/>
      <c r="IFB47" s="22"/>
      <c r="IFC47" s="22"/>
      <c r="IFD47" s="22"/>
      <c r="IFE47" s="22"/>
      <c r="IFF47" s="22"/>
      <c r="IFG47" s="22"/>
      <c r="IFH47" s="22"/>
      <c r="IFI47" s="22"/>
      <c r="IFJ47" s="22"/>
      <c r="IFK47" s="22"/>
      <c r="IFL47" s="22"/>
      <c r="IFM47" s="22"/>
      <c r="IFN47" s="22"/>
      <c r="IFO47" s="22"/>
      <c r="IFP47" s="22"/>
      <c r="IFQ47" s="22"/>
      <c r="IFR47" s="22"/>
      <c r="IFS47" s="22"/>
      <c r="IFT47" s="22"/>
      <c r="IFU47" s="22"/>
      <c r="IFV47" s="22"/>
      <c r="IFW47" s="22"/>
      <c r="IFX47" s="22"/>
      <c r="IFY47" s="22"/>
      <c r="IFZ47" s="22"/>
      <c r="IGA47" s="22"/>
      <c r="IGB47" s="22"/>
      <c r="IGC47" s="22"/>
      <c r="IGD47" s="22"/>
      <c r="IGE47" s="22"/>
      <c r="IGF47" s="22"/>
      <c r="IGG47" s="22"/>
      <c r="IGH47" s="22"/>
      <c r="IGI47" s="22"/>
      <c r="IGJ47" s="22"/>
      <c r="IGK47" s="22"/>
      <c r="IGL47" s="22"/>
      <c r="IGM47" s="22"/>
      <c r="IGN47" s="22"/>
      <c r="IGO47" s="22"/>
      <c r="IGP47" s="22"/>
      <c r="IGQ47" s="22"/>
      <c r="IGR47" s="22"/>
      <c r="IGS47" s="22"/>
      <c r="IGT47" s="22"/>
      <c r="IGU47" s="22"/>
      <c r="IGV47" s="22"/>
      <c r="IGW47" s="22"/>
      <c r="IGX47" s="22"/>
      <c r="IGY47" s="22"/>
      <c r="IGZ47" s="22"/>
      <c r="IHA47" s="22"/>
      <c r="IHB47" s="22"/>
      <c r="IHC47" s="22"/>
      <c r="IHD47" s="22"/>
      <c r="IHE47" s="22"/>
      <c r="IHF47" s="22"/>
      <c r="IHG47" s="22"/>
      <c r="IHH47" s="22"/>
      <c r="IHI47" s="22"/>
      <c r="IHJ47" s="22"/>
      <c r="IHK47" s="22"/>
      <c r="IHL47" s="22"/>
      <c r="IHM47" s="22"/>
      <c r="IHN47" s="22"/>
      <c r="IHO47" s="22"/>
      <c r="IHP47" s="22"/>
      <c r="IHQ47" s="22"/>
      <c r="IHR47" s="22"/>
      <c r="IHS47" s="22"/>
      <c r="IHT47" s="22"/>
      <c r="IHU47" s="22"/>
      <c r="IHV47" s="22"/>
      <c r="IHW47" s="22"/>
      <c r="IHX47" s="22"/>
      <c r="IHY47" s="22"/>
      <c r="IHZ47" s="22"/>
      <c r="IIA47" s="22"/>
      <c r="IIB47" s="22"/>
      <c r="IIC47" s="22"/>
      <c r="IID47" s="22"/>
      <c r="IIE47" s="22"/>
      <c r="IIF47" s="22"/>
      <c r="IIG47" s="22"/>
      <c r="IIH47" s="22"/>
      <c r="III47" s="22"/>
      <c r="IIJ47" s="22"/>
      <c r="IIK47" s="22"/>
      <c r="IIL47" s="22"/>
      <c r="IIM47" s="22"/>
      <c r="IIN47" s="22"/>
      <c r="IIO47" s="22"/>
      <c r="IIP47" s="22"/>
      <c r="IIQ47" s="22"/>
      <c r="IIR47" s="22"/>
      <c r="IIS47" s="22"/>
      <c r="IIT47" s="22"/>
      <c r="IIU47" s="22"/>
      <c r="IIV47" s="22"/>
      <c r="IIW47" s="22"/>
      <c r="IIX47" s="22"/>
      <c r="IIY47" s="22"/>
      <c r="IIZ47" s="22"/>
      <c r="IJA47" s="22"/>
      <c r="IJB47" s="22"/>
      <c r="IJC47" s="22"/>
      <c r="IJD47" s="22"/>
      <c r="IJE47" s="22"/>
      <c r="IJF47" s="22"/>
      <c r="IJG47" s="22"/>
      <c r="IJH47" s="22"/>
      <c r="IJI47" s="22"/>
      <c r="IJJ47" s="22"/>
      <c r="IJK47" s="22"/>
      <c r="IJL47" s="22"/>
      <c r="IJM47" s="22"/>
      <c r="IJN47" s="22"/>
      <c r="IJO47" s="22"/>
      <c r="IJP47" s="22"/>
      <c r="IJQ47" s="22"/>
      <c r="IJR47" s="22"/>
      <c r="IJS47" s="22"/>
      <c r="IJT47" s="22"/>
      <c r="IJU47" s="22"/>
      <c r="IJV47" s="22"/>
      <c r="IJW47" s="22"/>
      <c r="IJX47" s="22"/>
      <c r="IJY47" s="22"/>
      <c r="IJZ47" s="22"/>
      <c r="IKA47" s="22"/>
      <c r="IKB47" s="22"/>
      <c r="IKC47" s="22"/>
      <c r="IKD47" s="22"/>
      <c r="IKE47" s="22"/>
      <c r="IKF47" s="22"/>
      <c r="IKG47" s="22"/>
      <c r="IKH47" s="22"/>
      <c r="IKI47" s="22"/>
      <c r="IKJ47" s="22"/>
      <c r="IKK47" s="22"/>
      <c r="IKL47" s="22"/>
      <c r="IKM47" s="22"/>
      <c r="IKN47" s="22"/>
      <c r="IKO47" s="22"/>
      <c r="IKP47" s="22"/>
      <c r="IKQ47" s="22"/>
      <c r="IKR47" s="22"/>
      <c r="IKS47" s="22"/>
      <c r="IKT47" s="22"/>
      <c r="IKU47" s="22"/>
      <c r="IKV47" s="22"/>
      <c r="IKW47" s="22"/>
      <c r="IKX47" s="22"/>
      <c r="IKY47" s="22"/>
      <c r="IKZ47" s="22"/>
      <c r="ILA47" s="22"/>
      <c r="ILB47" s="22"/>
      <c r="ILC47" s="22"/>
      <c r="ILD47" s="22"/>
      <c r="ILE47" s="22"/>
      <c r="ILF47" s="22"/>
      <c r="ILG47" s="22"/>
      <c r="ILH47" s="22"/>
      <c r="ILI47" s="22"/>
      <c r="ILJ47" s="22"/>
      <c r="ILK47" s="22"/>
      <c r="ILL47" s="22"/>
      <c r="ILM47" s="22"/>
      <c r="ILN47" s="22"/>
      <c r="ILO47" s="22"/>
      <c r="ILP47" s="22"/>
      <c r="ILQ47" s="22"/>
      <c r="ILR47" s="22"/>
      <c r="ILS47" s="22"/>
      <c r="ILT47" s="22"/>
      <c r="ILU47" s="22"/>
      <c r="ILV47" s="22"/>
      <c r="ILW47" s="22"/>
      <c r="ILX47" s="22"/>
      <c r="ILY47" s="22"/>
      <c r="ILZ47" s="22"/>
      <c r="IMA47" s="22"/>
      <c r="IMB47" s="22"/>
      <c r="IMC47" s="22"/>
      <c r="IMD47" s="22"/>
      <c r="IME47" s="22"/>
      <c r="IMF47" s="22"/>
      <c r="IMG47" s="22"/>
      <c r="IMH47" s="22"/>
      <c r="IMI47" s="22"/>
      <c r="IMJ47" s="22"/>
      <c r="IMK47" s="22"/>
      <c r="IML47" s="22"/>
      <c r="IMM47" s="22"/>
      <c r="IMN47" s="22"/>
      <c r="IMO47" s="22"/>
      <c r="IMP47" s="22"/>
      <c r="IMQ47" s="22"/>
      <c r="IMR47" s="22"/>
      <c r="IMS47" s="22"/>
      <c r="IMT47" s="22"/>
      <c r="IMU47" s="22"/>
      <c r="IMV47" s="22"/>
      <c r="IMW47" s="22"/>
      <c r="IMX47" s="22"/>
      <c r="IMY47" s="22"/>
      <c r="IMZ47" s="22"/>
      <c r="INA47" s="22"/>
      <c r="INB47" s="22"/>
      <c r="INC47" s="22"/>
      <c r="IND47" s="22"/>
      <c r="INE47" s="22"/>
      <c r="INF47" s="22"/>
      <c r="ING47" s="22"/>
      <c r="INH47" s="22"/>
      <c r="INI47" s="22"/>
      <c r="INJ47" s="22"/>
      <c r="INK47" s="22"/>
      <c r="INL47" s="22"/>
      <c r="INM47" s="22"/>
      <c r="INN47" s="22"/>
      <c r="INO47" s="22"/>
      <c r="INP47" s="22"/>
      <c r="INQ47" s="22"/>
      <c r="INR47" s="22"/>
      <c r="INS47" s="22"/>
      <c r="INT47" s="22"/>
      <c r="INU47" s="22"/>
      <c r="INV47" s="22"/>
      <c r="INW47" s="22"/>
      <c r="INX47" s="22"/>
      <c r="INY47" s="22"/>
      <c r="INZ47" s="22"/>
      <c r="IOA47" s="22"/>
      <c r="IOB47" s="22"/>
      <c r="IOC47" s="22"/>
      <c r="IOD47" s="22"/>
      <c r="IOE47" s="22"/>
      <c r="IOF47" s="22"/>
      <c r="IOG47" s="22"/>
      <c r="IOH47" s="22"/>
      <c r="IOI47" s="22"/>
      <c r="IOJ47" s="22"/>
      <c r="IOK47" s="22"/>
      <c r="IOL47" s="22"/>
      <c r="IOM47" s="22"/>
      <c r="ION47" s="22"/>
      <c r="IOO47" s="22"/>
      <c r="IOP47" s="22"/>
      <c r="IOQ47" s="22"/>
      <c r="IOR47" s="22"/>
      <c r="IOS47" s="22"/>
      <c r="IOT47" s="22"/>
      <c r="IOU47" s="22"/>
      <c r="IOV47" s="22"/>
      <c r="IOW47" s="22"/>
      <c r="IOX47" s="22"/>
      <c r="IOY47" s="22"/>
      <c r="IOZ47" s="22"/>
      <c r="IPA47" s="22"/>
      <c r="IPB47" s="22"/>
      <c r="IPC47" s="22"/>
      <c r="IPD47" s="22"/>
      <c r="IPE47" s="22"/>
      <c r="IPF47" s="22"/>
      <c r="IPG47" s="22"/>
      <c r="IPH47" s="22"/>
      <c r="IPI47" s="22"/>
      <c r="IPJ47" s="22"/>
      <c r="IPK47" s="22"/>
      <c r="IPL47" s="22"/>
      <c r="IPM47" s="22"/>
      <c r="IPN47" s="22"/>
      <c r="IPO47" s="22"/>
      <c r="IPP47" s="22"/>
      <c r="IPQ47" s="22"/>
      <c r="IPR47" s="22"/>
      <c r="IPS47" s="22"/>
      <c r="IPT47" s="22"/>
      <c r="IPU47" s="22"/>
      <c r="IPV47" s="22"/>
      <c r="IPW47" s="22"/>
      <c r="IPX47" s="22"/>
      <c r="IPY47" s="22"/>
      <c r="IPZ47" s="22"/>
      <c r="IQA47" s="22"/>
      <c r="IQB47" s="22"/>
      <c r="IQC47" s="22"/>
      <c r="IQD47" s="22"/>
      <c r="IQE47" s="22"/>
      <c r="IQF47" s="22"/>
      <c r="IQG47" s="22"/>
      <c r="IQH47" s="22"/>
      <c r="IQI47" s="22"/>
      <c r="IQJ47" s="22"/>
      <c r="IQK47" s="22"/>
      <c r="IQL47" s="22"/>
      <c r="IQM47" s="22"/>
      <c r="IQN47" s="22"/>
      <c r="IQO47" s="22"/>
      <c r="IQP47" s="22"/>
      <c r="IQQ47" s="22"/>
      <c r="IQR47" s="22"/>
      <c r="IQS47" s="22"/>
      <c r="IQT47" s="22"/>
      <c r="IQU47" s="22"/>
      <c r="IQV47" s="22"/>
      <c r="IQW47" s="22"/>
      <c r="IQX47" s="22"/>
      <c r="IQY47" s="22"/>
      <c r="IQZ47" s="22"/>
      <c r="IRA47" s="22"/>
      <c r="IRB47" s="22"/>
      <c r="IRC47" s="22"/>
      <c r="IRD47" s="22"/>
      <c r="IRE47" s="22"/>
      <c r="IRF47" s="22"/>
      <c r="IRG47" s="22"/>
      <c r="IRH47" s="22"/>
      <c r="IRI47" s="22"/>
      <c r="IRJ47" s="22"/>
      <c r="IRK47" s="22"/>
      <c r="IRL47" s="22"/>
      <c r="IRM47" s="22"/>
      <c r="IRN47" s="22"/>
      <c r="IRO47" s="22"/>
      <c r="IRP47" s="22"/>
      <c r="IRQ47" s="22"/>
      <c r="IRR47" s="22"/>
      <c r="IRS47" s="22"/>
      <c r="IRT47" s="22"/>
      <c r="IRU47" s="22"/>
      <c r="IRV47" s="22"/>
      <c r="IRW47" s="22"/>
      <c r="IRX47" s="22"/>
      <c r="IRY47" s="22"/>
      <c r="IRZ47" s="22"/>
      <c r="ISA47" s="22"/>
      <c r="ISB47" s="22"/>
      <c r="ISC47" s="22"/>
      <c r="ISD47" s="22"/>
      <c r="ISE47" s="22"/>
      <c r="ISF47" s="22"/>
      <c r="ISG47" s="22"/>
      <c r="ISH47" s="22"/>
      <c r="ISI47" s="22"/>
      <c r="ISJ47" s="22"/>
      <c r="ISK47" s="22"/>
      <c r="ISL47" s="22"/>
      <c r="ISM47" s="22"/>
      <c r="ISN47" s="22"/>
      <c r="ISO47" s="22"/>
      <c r="ISP47" s="22"/>
      <c r="ISQ47" s="22"/>
      <c r="ISR47" s="22"/>
      <c r="ISS47" s="22"/>
      <c r="IST47" s="22"/>
      <c r="ISU47" s="22"/>
      <c r="ISV47" s="22"/>
      <c r="ISW47" s="22"/>
      <c r="ISX47" s="22"/>
      <c r="ISY47" s="22"/>
      <c r="ISZ47" s="22"/>
      <c r="ITA47" s="22"/>
      <c r="ITB47" s="22"/>
      <c r="ITC47" s="22"/>
      <c r="ITD47" s="22"/>
      <c r="ITE47" s="22"/>
      <c r="ITF47" s="22"/>
      <c r="ITG47" s="22"/>
      <c r="ITH47" s="22"/>
      <c r="ITI47" s="22"/>
      <c r="ITJ47" s="22"/>
      <c r="ITK47" s="22"/>
      <c r="ITL47" s="22"/>
      <c r="ITM47" s="22"/>
      <c r="ITN47" s="22"/>
      <c r="ITO47" s="22"/>
      <c r="ITP47" s="22"/>
      <c r="ITQ47" s="22"/>
      <c r="ITR47" s="22"/>
      <c r="ITS47" s="22"/>
      <c r="ITT47" s="22"/>
      <c r="ITU47" s="22"/>
      <c r="ITV47" s="22"/>
      <c r="ITW47" s="22"/>
      <c r="ITX47" s="22"/>
      <c r="ITY47" s="22"/>
      <c r="ITZ47" s="22"/>
      <c r="IUA47" s="22"/>
      <c r="IUB47" s="22"/>
      <c r="IUC47" s="22"/>
      <c r="IUD47" s="22"/>
      <c r="IUE47" s="22"/>
      <c r="IUF47" s="22"/>
      <c r="IUG47" s="22"/>
      <c r="IUH47" s="22"/>
      <c r="IUI47" s="22"/>
      <c r="IUJ47" s="22"/>
      <c r="IUK47" s="22"/>
      <c r="IUL47" s="22"/>
      <c r="IUM47" s="22"/>
      <c r="IUN47" s="22"/>
      <c r="IUO47" s="22"/>
      <c r="IUP47" s="22"/>
      <c r="IUQ47" s="22"/>
      <c r="IUR47" s="22"/>
      <c r="IUS47" s="22"/>
      <c r="IUT47" s="22"/>
      <c r="IUU47" s="22"/>
      <c r="IUV47" s="22"/>
      <c r="IUW47" s="22"/>
      <c r="IUX47" s="22"/>
      <c r="IUY47" s="22"/>
      <c r="IUZ47" s="22"/>
      <c r="IVA47" s="22"/>
      <c r="IVB47" s="22"/>
      <c r="IVC47" s="22"/>
      <c r="IVD47" s="22"/>
      <c r="IVE47" s="22"/>
      <c r="IVF47" s="22"/>
      <c r="IVG47" s="22"/>
      <c r="IVH47" s="22"/>
      <c r="IVI47" s="22"/>
      <c r="IVJ47" s="22"/>
      <c r="IVK47" s="22"/>
      <c r="IVL47" s="22"/>
      <c r="IVM47" s="22"/>
      <c r="IVN47" s="22"/>
      <c r="IVO47" s="22"/>
      <c r="IVP47" s="22"/>
      <c r="IVQ47" s="22"/>
      <c r="IVR47" s="22"/>
      <c r="IVS47" s="22"/>
      <c r="IVT47" s="22"/>
      <c r="IVU47" s="22"/>
      <c r="IVV47" s="22"/>
      <c r="IVW47" s="22"/>
      <c r="IVX47" s="22"/>
      <c r="IVY47" s="22"/>
      <c r="IVZ47" s="22"/>
      <c r="IWA47" s="22"/>
      <c r="IWB47" s="22"/>
      <c r="IWC47" s="22"/>
      <c r="IWD47" s="22"/>
      <c r="IWE47" s="22"/>
      <c r="IWF47" s="22"/>
      <c r="IWG47" s="22"/>
      <c r="IWH47" s="22"/>
      <c r="IWI47" s="22"/>
      <c r="IWJ47" s="22"/>
      <c r="IWK47" s="22"/>
      <c r="IWL47" s="22"/>
      <c r="IWM47" s="22"/>
      <c r="IWN47" s="22"/>
      <c r="IWO47" s="22"/>
      <c r="IWP47" s="22"/>
      <c r="IWQ47" s="22"/>
      <c r="IWR47" s="22"/>
      <c r="IWS47" s="22"/>
      <c r="IWT47" s="22"/>
      <c r="IWU47" s="22"/>
      <c r="IWV47" s="22"/>
      <c r="IWW47" s="22"/>
      <c r="IWX47" s="22"/>
      <c r="IWY47" s="22"/>
      <c r="IWZ47" s="22"/>
      <c r="IXA47" s="22"/>
      <c r="IXB47" s="22"/>
      <c r="IXC47" s="22"/>
      <c r="IXD47" s="22"/>
      <c r="IXE47" s="22"/>
      <c r="IXF47" s="22"/>
      <c r="IXG47" s="22"/>
      <c r="IXH47" s="22"/>
      <c r="IXI47" s="22"/>
      <c r="IXJ47" s="22"/>
      <c r="IXK47" s="22"/>
      <c r="IXL47" s="22"/>
      <c r="IXM47" s="22"/>
      <c r="IXN47" s="22"/>
      <c r="IXO47" s="22"/>
      <c r="IXP47" s="22"/>
      <c r="IXQ47" s="22"/>
      <c r="IXR47" s="22"/>
      <c r="IXS47" s="22"/>
      <c r="IXT47" s="22"/>
      <c r="IXU47" s="22"/>
      <c r="IXV47" s="22"/>
      <c r="IXW47" s="22"/>
      <c r="IXX47" s="22"/>
      <c r="IXY47" s="22"/>
      <c r="IXZ47" s="22"/>
      <c r="IYA47" s="22"/>
      <c r="IYB47" s="22"/>
      <c r="IYC47" s="22"/>
      <c r="IYD47" s="22"/>
      <c r="IYE47" s="22"/>
      <c r="IYF47" s="22"/>
      <c r="IYG47" s="22"/>
      <c r="IYH47" s="22"/>
      <c r="IYI47" s="22"/>
      <c r="IYJ47" s="22"/>
      <c r="IYK47" s="22"/>
      <c r="IYL47" s="22"/>
      <c r="IYM47" s="22"/>
      <c r="IYN47" s="22"/>
      <c r="IYO47" s="22"/>
      <c r="IYP47" s="22"/>
      <c r="IYQ47" s="22"/>
      <c r="IYR47" s="22"/>
      <c r="IYS47" s="22"/>
      <c r="IYT47" s="22"/>
      <c r="IYU47" s="22"/>
      <c r="IYV47" s="22"/>
      <c r="IYW47" s="22"/>
      <c r="IYX47" s="22"/>
      <c r="IYY47" s="22"/>
      <c r="IYZ47" s="22"/>
      <c r="IZA47" s="22"/>
      <c r="IZB47" s="22"/>
      <c r="IZC47" s="22"/>
      <c r="IZD47" s="22"/>
      <c r="IZE47" s="22"/>
      <c r="IZF47" s="22"/>
      <c r="IZG47" s="22"/>
      <c r="IZH47" s="22"/>
      <c r="IZI47" s="22"/>
      <c r="IZJ47" s="22"/>
      <c r="IZK47" s="22"/>
      <c r="IZL47" s="22"/>
      <c r="IZM47" s="22"/>
      <c r="IZN47" s="22"/>
      <c r="IZO47" s="22"/>
      <c r="IZP47" s="22"/>
      <c r="IZQ47" s="22"/>
      <c r="IZR47" s="22"/>
      <c r="IZS47" s="22"/>
      <c r="IZT47" s="22"/>
      <c r="IZU47" s="22"/>
      <c r="IZV47" s="22"/>
      <c r="IZW47" s="22"/>
      <c r="IZX47" s="22"/>
      <c r="IZY47" s="22"/>
      <c r="IZZ47" s="22"/>
      <c r="JAA47" s="22"/>
      <c r="JAB47" s="22"/>
      <c r="JAC47" s="22"/>
      <c r="JAD47" s="22"/>
      <c r="JAE47" s="22"/>
      <c r="JAF47" s="22"/>
      <c r="JAG47" s="22"/>
      <c r="JAH47" s="22"/>
      <c r="JAI47" s="22"/>
      <c r="JAJ47" s="22"/>
      <c r="JAK47" s="22"/>
      <c r="JAL47" s="22"/>
      <c r="JAM47" s="22"/>
      <c r="JAN47" s="22"/>
      <c r="JAO47" s="22"/>
      <c r="JAP47" s="22"/>
      <c r="JAQ47" s="22"/>
      <c r="JAR47" s="22"/>
      <c r="JAS47" s="22"/>
      <c r="JAT47" s="22"/>
      <c r="JAU47" s="22"/>
      <c r="JAV47" s="22"/>
      <c r="JAW47" s="22"/>
      <c r="JAX47" s="22"/>
      <c r="JAY47" s="22"/>
      <c r="JAZ47" s="22"/>
      <c r="JBA47" s="22"/>
      <c r="JBB47" s="22"/>
      <c r="JBC47" s="22"/>
      <c r="JBD47" s="22"/>
      <c r="JBE47" s="22"/>
      <c r="JBF47" s="22"/>
      <c r="JBG47" s="22"/>
      <c r="JBH47" s="22"/>
      <c r="JBI47" s="22"/>
      <c r="JBJ47" s="22"/>
      <c r="JBK47" s="22"/>
      <c r="JBL47" s="22"/>
      <c r="JBM47" s="22"/>
      <c r="JBN47" s="22"/>
      <c r="JBO47" s="22"/>
      <c r="JBP47" s="22"/>
      <c r="JBQ47" s="22"/>
      <c r="JBR47" s="22"/>
      <c r="JBS47" s="22"/>
      <c r="JBT47" s="22"/>
      <c r="JBU47" s="22"/>
      <c r="JBV47" s="22"/>
      <c r="JBW47" s="22"/>
      <c r="JBX47" s="22"/>
      <c r="JBY47" s="22"/>
      <c r="JBZ47" s="22"/>
      <c r="JCA47" s="22"/>
      <c r="JCB47" s="22"/>
      <c r="JCC47" s="22"/>
      <c r="JCD47" s="22"/>
      <c r="JCE47" s="22"/>
      <c r="JCF47" s="22"/>
      <c r="JCG47" s="22"/>
      <c r="JCH47" s="22"/>
      <c r="JCI47" s="22"/>
      <c r="JCJ47" s="22"/>
      <c r="JCK47" s="22"/>
      <c r="JCL47" s="22"/>
      <c r="JCM47" s="22"/>
      <c r="JCN47" s="22"/>
      <c r="JCO47" s="22"/>
      <c r="JCP47" s="22"/>
      <c r="JCQ47" s="22"/>
      <c r="JCR47" s="22"/>
      <c r="JCS47" s="22"/>
      <c r="JCT47" s="22"/>
      <c r="JCU47" s="22"/>
      <c r="JCV47" s="22"/>
      <c r="JCW47" s="22"/>
      <c r="JCX47" s="22"/>
      <c r="JCY47" s="22"/>
      <c r="JCZ47" s="22"/>
      <c r="JDA47" s="22"/>
      <c r="JDB47" s="22"/>
      <c r="JDC47" s="22"/>
      <c r="JDD47" s="22"/>
      <c r="JDE47" s="22"/>
      <c r="JDF47" s="22"/>
      <c r="JDG47" s="22"/>
      <c r="JDH47" s="22"/>
      <c r="JDI47" s="22"/>
      <c r="JDJ47" s="22"/>
      <c r="JDK47" s="22"/>
      <c r="JDL47" s="22"/>
      <c r="JDM47" s="22"/>
      <c r="JDN47" s="22"/>
      <c r="JDO47" s="22"/>
      <c r="JDP47" s="22"/>
      <c r="JDQ47" s="22"/>
      <c r="JDR47" s="22"/>
      <c r="JDS47" s="22"/>
      <c r="JDT47" s="22"/>
      <c r="JDU47" s="22"/>
      <c r="JDV47" s="22"/>
      <c r="JDW47" s="22"/>
      <c r="JDX47" s="22"/>
      <c r="JDY47" s="22"/>
      <c r="JDZ47" s="22"/>
      <c r="JEA47" s="22"/>
      <c r="JEB47" s="22"/>
      <c r="JEC47" s="22"/>
      <c r="JED47" s="22"/>
      <c r="JEE47" s="22"/>
      <c r="JEF47" s="22"/>
      <c r="JEG47" s="22"/>
      <c r="JEH47" s="22"/>
      <c r="JEI47" s="22"/>
      <c r="JEJ47" s="22"/>
      <c r="JEK47" s="22"/>
      <c r="JEL47" s="22"/>
      <c r="JEM47" s="22"/>
      <c r="JEN47" s="22"/>
      <c r="JEO47" s="22"/>
      <c r="JEP47" s="22"/>
      <c r="JEQ47" s="22"/>
      <c r="JER47" s="22"/>
      <c r="JES47" s="22"/>
      <c r="JET47" s="22"/>
      <c r="JEU47" s="22"/>
      <c r="JEV47" s="22"/>
      <c r="JEW47" s="22"/>
      <c r="JEX47" s="22"/>
      <c r="JEY47" s="22"/>
      <c r="JEZ47" s="22"/>
      <c r="JFA47" s="22"/>
      <c r="JFB47" s="22"/>
      <c r="JFC47" s="22"/>
      <c r="JFD47" s="22"/>
      <c r="JFE47" s="22"/>
      <c r="JFF47" s="22"/>
      <c r="JFG47" s="22"/>
      <c r="JFH47" s="22"/>
      <c r="JFI47" s="22"/>
      <c r="JFJ47" s="22"/>
      <c r="JFK47" s="22"/>
      <c r="JFL47" s="22"/>
      <c r="JFM47" s="22"/>
      <c r="JFN47" s="22"/>
      <c r="JFO47" s="22"/>
      <c r="JFP47" s="22"/>
      <c r="JFQ47" s="22"/>
      <c r="JFR47" s="22"/>
      <c r="JFS47" s="22"/>
      <c r="JFT47" s="22"/>
      <c r="JFU47" s="22"/>
      <c r="JFV47" s="22"/>
      <c r="JFW47" s="22"/>
      <c r="JFX47" s="22"/>
      <c r="JFY47" s="22"/>
      <c r="JFZ47" s="22"/>
      <c r="JGA47" s="22"/>
      <c r="JGB47" s="22"/>
      <c r="JGC47" s="22"/>
      <c r="JGD47" s="22"/>
      <c r="JGE47" s="22"/>
      <c r="JGF47" s="22"/>
      <c r="JGG47" s="22"/>
      <c r="JGH47" s="22"/>
      <c r="JGI47" s="22"/>
      <c r="JGJ47" s="22"/>
      <c r="JGK47" s="22"/>
      <c r="JGL47" s="22"/>
      <c r="JGM47" s="22"/>
      <c r="JGN47" s="22"/>
      <c r="JGO47" s="22"/>
      <c r="JGP47" s="22"/>
      <c r="JGQ47" s="22"/>
      <c r="JGR47" s="22"/>
      <c r="JGS47" s="22"/>
      <c r="JGT47" s="22"/>
      <c r="JGU47" s="22"/>
      <c r="JGV47" s="22"/>
      <c r="JGW47" s="22"/>
      <c r="JGX47" s="22"/>
      <c r="JGY47" s="22"/>
      <c r="JGZ47" s="22"/>
      <c r="JHA47" s="22"/>
      <c r="JHB47" s="22"/>
      <c r="JHC47" s="22"/>
      <c r="JHD47" s="22"/>
      <c r="JHE47" s="22"/>
      <c r="JHF47" s="22"/>
      <c r="JHG47" s="22"/>
      <c r="JHH47" s="22"/>
      <c r="JHI47" s="22"/>
      <c r="JHJ47" s="22"/>
      <c r="JHK47" s="22"/>
      <c r="JHL47" s="22"/>
      <c r="JHM47" s="22"/>
      <c r="JHN47" s="22"/>
      <c r="JHO47" s="22"/>
      <c r="JHP47" s="22"/>
      <c r="JHQ47" s="22"/>
      <c r="JHR47" s="22"/>
      <c r="JHS47" s="22"/>
      <c r="JHT47" s="22"/>
      <c r="JHU47" s="22"/>
      <c r="JHV47" s="22"/>
      <c r="JHW47" s="22"/>
      <c r="JHX47" s="22"/>
      <c r="JHY47" s="22"/>
      <c r="JHZ47" s="22"/>
      <c r="JIA47" s="22"/>
      <c r="JIB47" s="22"/>
      <c r="JIC47" s="22"/>
      <c r="JID47" s="22"/>
      <c r="JIE47" s="22"/>
      <c r="JIF47" s="22"/>
      <c r="JIG47" s="22"/>
      <c r="JIH47" s="22"/>
      <c r="JII47" s="22"/>
      <c r="JIJ47" s="22"/>
      <c r="JIK47" s="22"/>
      <c r="JIL47" s="22"/>
      <c r="JIM47" s="22"/>
      <c r="JIN47" s="22"/>
      <c r="JIO47" s="22"/>
      <c r="JIP47" s="22"/>
      <c r="JIQ47" s="22"/>
      <c r="JIR47" s="22"/>
      <c r="JIS47" s="22"/>
      <c r="JIT47" s="22"/>
      <c r="JIU47" s="22"/>
      <c r="JIV47" s="22"/>
      <c r="JIW47" s="22"/>
      <c r="JIX47" s="22"/>
      <c r="JIY47" s="22"/>
      <c r="JIZ47" s="22"/>
      <c r="JJA47" s="22"/>
      <c r="JJB47" s="22"/>
      <c r="JJC47" s="22"/>
      <c r="JJD47" s="22"/>
      <c r="JJE47" s="22"/>
      <c r="JJF47" s="22"/>
      <c r="JJG47" s="22"/>
      <c r="JJH47" s="22"/>
      <c r="JJI47" s="22"/>
      <c r="JJJ47" s="22"/>
      <c r="JJK47" s="22"/>
      <c r="JJL47" s="22"/>
      <c r="JJM47" s="22"/>
      <c r="JJN47" s="22"/>
      <c r="JJO47" s="22"/>
      <c r="JJP47" s="22"/>
      <c r="JJQ47" s="22"/>
      <c r="JJR47" s="22"/>
      <c r="JJS47" s="22"/>
      <c r="JJT47" s="22"/>
      <c r="JJU47" s="22"/>
      <c r="JJV47" s="22"/>
      <c r="JJW47" s="22"/>
      <c r="JJX47" s="22"/>
      <c r="JJY47" s="22"/>
      <c r="JJZ47" s="22"/>
      <c r="JKA47" s="22"/>
      <c r="JKB47" s="22"/>
      <c r="JKC47" s="22"/>
      <c r="JKD47" s="22"/>
      <c r="JKE47" s="22"/>
      <c r="JKF47" s="22"/>
      <c r="JKG47" s="22"/>
      <c r="JKH47" s="22"/>
      <c r="JKI47" s="22"/>
      <c r="JKJ47" s="22"/>
      <c r="JKK47" s="22"/>
      <c r="JKL47" s="22"/>
      <c r="JKM47" s="22"/>
      <c r="JKN47" s="22"/>
      <c r="JKO47" s="22"/>
      <c r="JKP47" s="22"/>
      <c r="JKQ47" s="22"/>
      <c r="JKR47" s="22"/>
      <c r="JKS47" s="22"/>
      <c r="JKT47" s="22"/>
      <c r="JKU47" s="22"/>
      <c r="JKV47" s="22"/>
      <c r="JKW47" s="22"/>
      <c r="JKX47" s="22"/>
      <c r="JKY47" s="22"/>
      <c r="JKZ47" s="22"/>
      <c r="JLA47" s="22"/>
      <c r="JLB47" s="22"/>
      <c r="JLC47" s="22"/>
      <c r="JLD47" s="22"/>
      <c r="JLE47" s="22"/>
      <c r="JLF47" s="22"/>
      <c r="JLG47" s="22"/>
      <c r="JLH47" s="22"/>
      <c r="JLI47" s="22"/>
      <c r="JLJ47" s="22"/>
      <c r="JLK47" s="22"/>
      <c r="JLL47" s="22"/>
      <c r="JLM47" s="22"/>
      <c r="JLN47" s="22"/>
      <c r="JLO47" s="22"/>
      <c r="JLP47" s="22"/>
      <c r="JLQ47" s="22"/>
      <c r="JLR47" s="22"/>
      <c r="JLS47" s="22"/>
      <c r="JLT47" s="22"/>
      <c r="JLU47" s="22"/>
      <c r="JLV47" s="22"/>
      <c r="JLW47" s="22"/>
      <c r="JLX47" s="22"/>
      <c r="JLY47" s="22"/>
      <c r="JLZ47" s="22"/>
      <c r="JMA47" s="22"/>
      <c r="JMB47" s="22"/>
      <c r="JMC47" s="22"/>
      <c r="JMD47" s="22"/>
      <c r="JME47" s="22"/>
      <c r="JMF47" s="22"/>
      <c r="JMG47" s="22"/>
      <c r="JMH47" s="22"/>
      <c r="JMI47" s="22"/>
      <c r="JMJ47" s="22"/>
      <c r="JMK47" s="22"/>
      <c r="JML47" s="22"/>
      <c r="JMM47" s="22"/>
      <c r="JMN47" s="22"/>
      <c r="JMO47" s="22"/>
      <c r="JMP47" s="22"/>
      <c r="JMQ47" s="22"/>
      <c r="JMR47" s="22"/>
      <c r="JMS47" s="22"/>
      <c r="JMT47" s="22"/>
      <c r="JMU47" s="22"/>
      <c r="JMV47" s="22"/>
      <c r="JMW47" s="22"/>
      <c r="JMX47" s="22"/>
      <c r="JMY47" s="22"/>
      <c r="JMZ47" s="22"/>
      <c r="JNA47" s="22"/>
      <c r="JNB47" s="22"/>
      <c r="JNC47" s="22"/>
      <c r="JND47" s="22"/>
      <c r="JNE47" s="22"/>
      <c r="JNF47" s="22"/>
      <c r="JNG47" s="22"/>
      <c r="JNH47" s="22"/>
      <c r="JNI47" s="22"/>
      <c r="JNJ47" s="22"/>
      <c r="JNK47" s="22"/>
      <c r="JNL47" s="22"/>
      <c r="JNM47" s="22"/>
      <c r="JNN47" s="22"/>
      <c r="JNO47" s="22"/>
      <c r="JNP47" s="22"/>
      <c r="JNQ47" s="22"/>
      <c r="JNR47" s="22"/>
      <c r="JNS47" s="22"/>
      <c r="JNT47" s="22"/>
      <c r="JNU47" s="22"/>
      <c r="JNV47" s="22"/>
      <c r="JNW47" s="22"/>
      <c r="JNX47" s="22"/>
      <c r="JNY47" s="22"/>
      <c r="JNZ47" s="22"/>
      <c r="JOA47" s="22"/>
      <c r="JOB47" s="22"/>
      <c r="JOC47" s="22"/>
      <c r="JOD47" s="22"/>
      <c r="JOE47" s="22"/>
      <c r="JOF47" s="22"/>
      <c r="JOG47" s="22"/>
      <c r="JOH47" s="22"/>
      <c r="JOI47" s="22"/>
      <c r="JOJ47" s="22"/>
      <c r="JOK47" s="22"/>
      <c r="JOL47" s="22"/>
      <c r="JOM47" s="22"/>
      <c r="JON47" s="22"/>
      <c r="JOO47" s="22"/>
      <c r="JOP47" s="22"/>
      <c r="JOQ47" s="22"/>
      <c r="JOR47" s="22"/>
      <c r="JOS47" s="22"/>
      <c r="JOT47" s="22"/>
      <c r="JOU47" s="22"/>
      <c r="JOV47" s="22"/>
      <c r="JOW47" s="22"/>
      <c r="JOX47" s="22"/>
      <c r="JOY47" s="22"/>
      <c r="JOZ47" s="22"/>
      <c r="JPA47" s="22"/>
      <c r="JPB47" s="22"/>
      <c r="JPC47" s="22"/>
      <c r="JPD47" s="22"/>
      <c r="JPE47" s="22"/>
      <c r="JPF47" s="22"/>
      <c r="JPG47" s="22"/>
      <c r="JPH47" s="22"/>
      <c r="JPI47" s="22"/>
      <c r="JPJ47" s="22"/>
      <c r="JPK47" s="22"/>
      <c r="JPL47" s="22"/>
      <c r="JPM47" s="22"/>
      <c r="JPN47" s="22"/>
      <c r="JPO47" s="22"/>
      <c r="JPP47" s="22"/>
      <c r="JPQ47" s="22"/>
      <c r="JPR47" s="22"/>
      <c r="JPS47" s="22"/>
      <c r="JPT47" s="22"/>
      <c r="JPU47" s="22"/>
      <c r="JPV47" s="22"/>
      <c r="JPW47" s="22"/>
      <c r="JPX47" s="22"/>
      <c r="JPY47" s="22"/>
      <c r="JPZ47" s="22"/>
      <c r="JQA47" s="22"/>
      <c r="JQB47" s="22"/>
      <c r="JQC47" s="22"/>
      <c r="JQD47" s="22"/>
      <c r="JQE47" s="22"/>
      <c r="JQF47" s="22"/>
      <c r="JQG47" s="22"/>
      <c r="JQH47" s="22"/>
      <c r="JQI47" s="22"/>
      <c r="JQJ47" s="22"/>
      <c r="JQK47" s="22"/>
      <c r="JQL47" s="22"/>
      <c r="JQM47" s="22"/>
      <c r="JQN47" s="22"/>
      <c r="JQO47" s="22"/>
      <c r="JQP47" s="22"/>
      <c r="JQQ47" s="22"/>
      <c r="JQR47" s="22"/>
      <c r="JQS47" s="22"/>
      <c r="JQT47" s="22"/>
      <c r="JQU47" s="22"/>
      <c r="JQV47" s="22"/>
      <c r="JQW47" s="22"/>
      <c r="JQX47" s="22"/>
      <c r="JQY47" s="22"/>
      <c r="JQZ47" s="22"/>
      <c r="JRA47" s="22"/>
      <c r="JRB47" s="22"/>
      <c r="JRC47" s="22"/>
      <c r="JRD47" s="22"/>
      <c r="JRE47" s="22"/>
      <c r="JRF47" s="22"/>
      <c r="JRG47" s="22"/>
      <c r="JRH47" s="22"/>
      <c r="JRI47" s="22"/>
      <c r="JRJ47" s="22"/>
      <c r="JRK47" s="22"/>
      <c r="JRL47" s="22"/>
      <c r="JRM47" s="22"/>
      <c r="JRN47" s="22"/>
      <c r="JRO47" s="22"/>
      <c r="JRP47" s="22"/>
      <c r="JRQ47" s="22"/>
      <c r="JRR47" s="22"/>
      <c r="JRS47" s="22"/>
      <c r="JRT47" s="22"/>
      <c r="JRU47" s="22"/>
      <c r="JRV47" s="22"/>
      <c r="JRW47" s="22"/>
      <c r="JRX47" s="22"/>
      <c r="JRY47" s="22"/>
      <c r="JRZ47" s="22"/>
      <c r="JSA47" s="22"/>
      <c r="JSB47" s="22"/>
      <c r="JSC47" s="22"/>
      <c r="JSD47" s="22"/>
      <c r="JSE47" s="22"/>
      <c r="JSF47" s="22"/>
      <c r="JSG47" s="22"/>
      <c r="JSH47" s="22"/>
      <c r="JSI47" s="22"/>
      <c r="JSJ47" s="22"/>
      <c r="JSK47" s="22"/>
      <c r="JSL47" s="22"/>
      <c r="JSM47" s="22"/>
      <c r="JSN47" s="22"/>
      <c r="JSO47" s="22"/>
      <c r="JSP47" s="22"/>
      <c r="JSQ47" s="22"/>
      <c r="JSR47" s="22"/>
      <c r="JSS47" s="22"/>
      <c r="JST47" s="22"/>
      <c r="JSU47" s="22"/>
      <c r="JSV47" s="22"/>
      <c r="JSW47" s="22"/>
      <c r="JSX47" s="22"/>
      <c r="JSY47" s="22"/>
      <c r="JSZ47" s="22"/>
      <c r="JTA47" s="22"/>
      <c r="JTB47" s="22"/>
      <c r="JTC47" s="22"/>
      <c r="JTD47" s="22"/>
      <c r="JTE47" s="22"/>
      <c r="JTF47" s="22"/>
      <c r="JTG47" s="22"/>
      <c r="JTH47" s="22"/>
      <c r="JTI47" s="22"/>
      <c r="JTJ47" s="22"/>
      <c r="JTK47" s="22"/>
      <c r="JTL47" s="22"/>
      <c r="JTM47" s="22"/>
      <c r="JTN47" s="22"/>
      <c r="JTO47" s="22"/>
      <c r="JTP47" s="22"/>
      <c r="JTQ47" s="22"/>
      <c r="JTR47" s="22"/>
      <c r="JTS47" s="22"/>
      <c r="JTT47" s="22"/>
      <c r="JTU47" s="22"/>
      <c r="JTV47" s="22"/>
      <c r="JTW47" s="22"/>
      <c r="JTX47" s="22"/>
      <c r="JTY47" s="22"/>
      <c r="JTZ47" s="22"/>
      <c r="JUA47" s="22"/>
      <c r="JUB47" s="22"/>
      <c r="JUC47" s="22"/>
      <c r="JUD47" s="22"/>
      <c r="JUE47" s="22"/>
      <c r="JUF47" s="22"/>
      <c r="JUG47" s="22"/>
      <c r="JUH47" s="22"/>
      <c r="JUI47" s="22"/>
      <c r="JUJ47" s="22"/>
      <c r="JUK47" s="22"/>
      <c r="JUL47" s="22"/>
      <c r="JUM47" s="22"/>
      <c r="JUN47" s="22"/>
      <c r="JUO47" s="22"/>
      <c r="JUP47" s="22"/>
      <c r="JUQ47" s="22"/>
      <c r="JUR47" s="22"/>
      <c r="JUS47" s="22"/>
      <c r="JUT47" s="22"/>
      <c r="JUU47" s="22"/>
      <c r="JUV47" s="22"/>
      <c r="JUW47" s="22"/>
      <c r="JUX47" s="22"/>
      <c r="JUY47" s="22"/>
      <c r="JUZ47" s="22"/>
      <c r="JVA47" s="22"/>
      <c r="JVB47" s="22"/>
      <c r="JVC47" s="22"/>
      <c r="JVD47" s="22"/>
      <c r="JVE47" s="22"/>
      <c r="JVF47" s="22"/>
      <c r="JVG47" s="22"/>
      <c r="JVH47" s="22"/>
      <c r="JVI47" s="22"/>
      <c r="JVJ47" s="22"/>
      <c r="JVK47" s="22"/>
      <c r="JVL47" s="22"/>
      <c r="JVM47" s="22"/>
      <c r="JVN47" s="22"/>
      <c r="JVO47" s="22"/>
      <c r="JVP47" s="22"/>
      <c r="JVQ47" s="22"/>
      <c r="JVR47" s="22"/>
      <c r="JVS47" s="22"/>
      <c r="JVT47" s="22"/>
      <c r="JVU47" s="22"/>
      <c r="JVV47" s="22"/>
      <c r="JVW47" s="22"/>
      <c r="JVX47" s="22"/>
      <c r="JVY47" s="22"/>
      <c r="JVZ47" s="22"/>
      <c r="JWA47" s="22"/>
      <c r="JWB47" s="22"/>
      <c r="JWC47" s="22"/>
      <c r="JWD47" s="22"/>
      <c r="JWE47" s="22"/>
      <c r="JWF47" s="22"/>
      <c r="JWG47" s="22"/>
      <c r="JWH47" s="22"/>
      <c r="JWI47" s="22"/>
      <c r="JWJ47" s="22"/>
      <c r="JWK47" s="22"/>
      <c r="JWL47" s="22"/>
      <c r="JWM47" s="22"/>
      <c r="JWN47" s="22"/>
      <c r="JWO47" s="22"/>
      <c r="JWP47" s="22"/>
      <c r="JWQ47" s="22"/>
      <c r="JWR47" s="22"/>
      <c r="JWS47" s="22"/>
      <c r="JWT47" s="22"/>
      <c r="JWU47" s="22"/>
      <c r="JWV47" s="22"/>
      <c r="JWW47" s="22"/>
      <c r="JWX47" s="22"/>
      <c r="JWY47" s="22"/>
      <c r="JWZ47" s="22"/>
      <c r="JXA47" s="22"/>
      <c r="JXB47" s="22"/>
      <c r="JXC47" s="22"/>
      <c r="JXD47" s="22"/>
      <c r="JXE47" s="22"/>
      <c r="JXF47" s="22"/>
      <c r="JXG47" s="22"/>
      <c r="JXH47" s="22"/>
      <c r="JXI47" s="22"/>
      <c r="JXJ47" s="22"/>
      <c r="JXK47" s="22"/>
      <c r="JXL47" s="22"/>
      <c r="JXM47" s="22"/>
      <c r="JXN47" s="22"/>
      <c r="JXO47" s="22"/>
      <c r="JXP47" s="22"/>
      <c r="JXQ47" s="22"/>
      <c r="JXR47" s="22"/>
      <c r="JXS47" s="22"/>
      <c r="JXT47" s="22"/>
      <c r="JXU47" s="22"/>
      <c r="JXV47" s="22"/>
      <c r="JXW47" s="22"/>
      <c r="JXX47" s="22"/>
      <c r="JXY47" s="22"/>
      <c r="JXZ47" s="22"/>
      <c r="JYA47" s="22"/>
      <c r="JYB47" s="22"/>
      <c r="JYC47" s="22"/>
      <c r="JYD47" s="22"/>
      <c r="JYE47" s="22"/>
      <c r="JYF47" s="22"/>
      <c r="JYG47" s="22"/>
      <c r="JYH47" s="22"/>
      <c r="JYI47" s="22"/>
      <c r="JYJ47" s="22"/>
      <c r="JYK47" s="22"/>
      <c r="JYL47" s="22"/>
      <c r="JYM47" s="22"/>
      <c r="JYN47" s="22"/>
      <c r="JYO47" s="22"/>
      <c r="JYP47" s="22"/>
      <c r="JYQ47" s="22"/>
      <c r="JYR47" s="22"/>
      <c r="JYS47" s="22"/>
      <c r="JYT47" s="22"/>
      <c r="JYU47" s="22"/>
      <c r="JYV47" s="22"/>
      <c r="JYW47" s="22"/>
      <c r="JYX47" s="22"/>
      <c r="JYY47" s="22"/>
      <c r="JYZ47" s="22"/>
      <c r="JZA47" s="22"/>
      <c r="JZB47" s="22"/>
      <c r="JZC47" s="22"/>
      <c r="JZD47" s="22"/>
      <c r="JZE47" s="22"/>
      <c r="JZF47" s="22"/>
      <c r="JZG47" s="22"/>
      <c r="JZH47" s="22"/>
      <c r="JZI47" s="22"/>
      <c r="JZJ47" s="22"/>
      <c r="JZK47" s="22"/>
      <c r="JZL47" s="22"/>
      <c r="JZM47" s="22"/>
      <c r="JZN47" s="22"/>
      <c r="JZO47" s="22"/>
      <c r="JZP47" s="22"/>
      <c r="JZQ47" s="22"/>
      <c r="JZR47" s="22"/>
      <c r="JZS47" s="22"/>
      <c r="JZT47" s="22"/>
      <c r="JZU47" s="22"/>
      <c r="JZV47" s="22"/>
      <c r="JZW47" s="22"/>
      <c r="JZX47" s="22"/>
      <c r="JZY47" s="22"/>
      <c r="JZZ47" s="22"/>
      <c r="KAA47" s="22"/>
      <c r="KAB47" s="22"/>
      <c r="KAC47" s="22"/>
      <c r="KAD47" s="22"/>
      <c r="KAE47" s="22"/>
      <c r="KAF47" s="22"/>
      <c r="KAG47" s="22"/>
      <c r="KAH47" s="22"/>
      <c r="KAI47" s="22"/>
      <c r="KAJ47" s="22"/>
      <c r="KAK47" s="22"/>
      <c r="KAL47" s="22"/>
      <c r="KAM47" s="22"/>
      <c r="KAN47" s="22"/>
      <c r="KAO47" s="22"/>
      <c r="KAP47" s="22"/>
      <c r="KAQ47" s="22"/>
      <c r="KAR47" s="22"/>
      <c r="KAS47" s="22"/>
      <c r="KAT47" s="22"/>
      <c r="KAU47" s="22"/>
      <c r="KAV47" s="22"/>
      <c r="KAW47" s="22"/>
      <c r="KAX47" s="22"/>
      <c r="KAY47" s="22"/>
      <c r="KAZ47" s="22"/>
      <c r="KBA47" s="22"/>
      <c r="KBB47" s="22"/>
      <c r="KBC47" s="22"/>
      <c r="KBD47" s="22"/>
      <c r="KBE47" s="22"/>
      <c r="KBF47" s="22"/>
      <c r="KBG47" s="22"/>
      <c r="KBH47" s="22"/>
      <c r="KBI47" s="22"/>
      <c r="KBJ47" s="22"/>
      <c r="KBK47" s="22"/>
      <c r="KBL47" s="22"/>
      <c r="KBM47" s="22"/>
      <c r="KBN47" s="22"/>
      <c r="KBO47" s="22"/>
      <c r="KBP47" s="22"/>
      <c r="KBQ47" s="22"/>
      <c r="KBR47" s="22"/>
      <c r="KBS47" s="22"/>
      <c r="KBT47" s="22"/>
      <c r="KBU47" s="22"/>
      <c r="KBV47" s="22"/>
      <c r="KBW47" s="22"/>
      <c r="KBX47" s="22"/>
      <c r="KBY47" s="22"/>
      <c r="KBZ47" s="22"/>
      <c r="KCA47" s="22"/>
      <c r="KCB47" s="22"/>
      <c r="KCC47" s="22"/>
      <c r="KCD47" s="22"/>
      <c r="KCE47" s="22"/>
      <c r="KCF47" s="22"/>
      <c r="KCG47" s="22"/>
      <c r="KCH47" s="22"/>
      <c r="KCI47" s="22"/>
      <c r="KCJ47" s="22"/>
      <c r="KCK47" s="22"/>
      <c r="KCL47" s="22"/>
      <c r="KCM47" s="22"/>
      <c r="KCN47" s="22"/>
      <c r="KCO47" s="22"/>
      <c r="KCP47" s="22"/>
      <c r="KCQ47" s="22"/>
      <c r="KCR47" s="22"/>
      <c r="KCS47" s="22"/>
      <c r="KCT47" s="22"/>
      <c r="KCU47" s="22"/>
      <c r="KCV47" s="22"/>
      <c r="KCW47" s="22"/>
      <c r="KCX47" s="22"/>
      <c r="KCY47" s="22"/>
      <c r="KCZ47" s="22"/>
      <c r="KDA47" s="22"/>
      <c r="KDB47" s="22"/>
      <c r="KDC47" s="22"/>
      <c r="KDD47" s="22"/>
      <c r="KDE47" s="22"/>
      <c r="KDF47" s="22"/>
      <c r="KDG47" s="22"/>
      <c r="KDH47" s="22"/>
      <c r="KDI47" s="22"/>
      <c r="KDJ47" s="22"/>
      <c r="KDK47" s="22"/>
      <c r="KDL47" s="22"/>
      <c r="KDM47" s="22"/>
      <c r="KDN47" s="22"/>
      <c r="KDO47" s="22"/>
      <c r="KDP47" s="22"/>
      <c r="KDQ47" s="22"/>
      <c r="KDR47" s="22"/>
      <c r="KDS47" s="22"/>
      <c r="KDT47" s="22"/>
      <c r="KDU47" s="22"/>
      <c r="KDV47" s="22"/>
      <c r="KDW47" s="22"/>
      <c r="KDX47" s="22"/>
      <c r="KDY47" s="22"/>
      <c r="KDZ47" s="22"/>
      <c r="KEA47" s="22"/>
      <c r="KEB47" s="22"/>
      <c r="KEC47" s="22"/>
      <c r="KED47" s="22"/>
      <c r="KEE47" s="22"/>
      <c r="KEF47" s="22"/>
      <c r="KEG47" s="22"/>
      <c r="KEH47" s="22"/>
      <c r="KEI47" s="22"/>
      <c r="KEJ47" s="22"/>
      <c r="KEK47" s="22"/>
      <c r="KEL47" s="22"/>
      <c r="KEM47" s="22"/>
      <c r="KEN47" s="22"/>
      <c r="KEO47" s="22"/>
      <c r="KEP47" s="22"/>
      <c r="KEQ47" s="22"/>
      <c r="KER47" s="22"/>
      <c r="KES47" s="22"/>
      <c r="KET47" s="22"/>
      <c r="KEU47" s="22"/>
      <c r="KEV47" s="22"/>
      <c r="KEW47" s="22"/>
      <c r="KEX47" s="22"/>
      <c r="KEY47" s="22"/>
      <c r="KEZ47" s="22"/>
      <c r="KFA47" s="22"/>
      <c r="KFB47" s="22"/>
      <c r="KFC47" s="22"/>
      <c r="KFD47" s="22"/>
      <c r="KFE47" s="22"/>
      <c r="KFF47" s="22"/>
      <c r="KFG47" s="22"/>
      <c r="KFH47" s="22"/>
      <c r="KFI47" s="22"/>
      <c r="KFJ47" s="22"/>
      <c r="KFK47" s="22"/>
      <c r="KFL47" s="22"/>
      <c r="KFM47" s="22"/>
      <c r="KFN47" s="22"/>
      <c r="KFO47" s="22"/>
      <c r="KFP47" s="22"/>
      <c r="KFQ47" s="22"/>
      <c r="KFR47" s="22"/>
      <c r="KFS47" s="22"/>
      <c r="KFT47" s="22"/>
      <c r="KFU47" s="22"/>
      <c r="KFV47" s="22"/>
      <c r="KFW47" s="22"/>
      <c r="KFX47" s="22"/>
      <c r="KFY47" s="22"/>
      <c r="KFZ47" s="22"/>
      <c r="KGA47" s="22"/>
      <c r="KGB47" s="22"/>
      <c r="KGC47" s="22"/>
      <c r="KGD47" s="22"/>
      <c r="KGE47" s="22"/>
      <c r="KGF47" s="22"/>
      <c r="KGG47" s="22"/>
      <c r="KGH47" s="22"/>
      <c r="KGI47" s="22"/>
      <c r="KGJ47" s="22"/>
      <c r="KGK47" s="22"/>
      <c r="KGL47" s="22"/>
      <c r="KGM47" s="22"/>
      <c r="KGN47" s="22"/>
      <c r="KGO47" s="22"/>
      <c r="KGP47" s="22"/>
      <c r="KGQ47" s="22"/>
      <c r="KGR47" s="22"/>
      <c r="KGS47" s="22"/>
      <c r="KGT47" s="22"/>
      <c r="KGU47" s="22"/>
      <c r="KGV47" s="22"/>
      <c r="KGW47" s="22"/>
      <c r="KGX47" s="22"/>
      <c r="KGY47" s="22"/>
      <c r="KGZ47" s="22"/>
      <c r="KHA47" s="22"/>
      <c r="KHB47" s="22"/>
      <c r="KHC47" s="22"/>
      <c r="KHD47" s="22"/>
      <c r="KHE47" s="22"/>
      <c r="KHF47" s="22"/>
      <c r="KHG47" s="22"/>
      <c r="KHH47" s="22"/>
      <c r="KHI47" s="22"/>
      <c r="KHJ47" s="22"/>
      <c r="KHK47" s="22"/>
      <c r="KHL47" s="22"/>
      <c r="KHM47" s="22"/>
      <c r="KHN47" s="22"/>
      <c r="KHO47" s="22"/>
      <c r="KHP47" s="22"/>
      <c r="KHQ47" s="22"/>
      <c r="KHR47" s="22"/>
      <c r="KHS47" s="22"/>
      <c r="KHT47" s="22"/>
      <c r="KHU47" s="22"/>
      <c r="KHV47" s="22"/>
      <c r="KHW47" s="22"/>
      <c r="KHX47" s="22"/>
      <c r="KHY47" s="22"/>
      <c r="KHZ47" s="22"/>
      <c r="KIA47" s="22"/>
      <c r="KIB47" s="22"/>
      <c r="KIC47" s="22"/>
      <c r="KID47" s="22"/>
      <c r="KIE47" s="22"/>
      <c r="KIF47" s="22"/>
      <c r="KIG47" s="22"/>
      <c r="KIH47" s="22"/>
      <c r="KII47" s="22"/>
      <c r="KIJ47" s="22"/>
      <c r="KIK47" s="22"/>
      <c r="KIL47" s="22"/>
      <c r="KIM47" s="22"/>
      <c r="KIN47" s="22"/>
      <c r="KIO47" s="22"/>
      <c r="KIP47" s="22"/>
      <c r="KIQ47" s="22"/>
      <c r="KIR47" s="22"/>
      <c r="KIS47" s="22"/>
      <c r="KIT47" s="22"/>
      <c r="KIU47" s="22"/>
      <c r="KIV47" s="22"/>
      <c r="KIW47" s="22"/>
      <c r="KIX47" s="22"/>
      <c r="KIY47" s="22"/>
      <c r="KIZ47" s="22"/>
      <c r="KJA47" s="22"/>
      <c r="KJB47" s="22"/>
      <c r="KJC47" s="22"/>
      <c r="KJD47" s="22"/>
      <c r="KJE47" s="22"/>
      <c r="KJF47" s="22"/>
      <c r="KJG47" s="22"/>
      <c r="KJH47" s="22"/>
      <c r="KJI47" s="22"/>
      <c r="KJJ47" s="22"/>
      <c r="KJK47" s="22"/>
      <c r="KJL47" s="22"/>
      <c r="KJM47" s="22"/>
      <c r="KJN47" s="22"/>
      <c r="KJO47" s="22"/>
      <c r="KJP47" s="22"/>
      <c r="KJQ47" s="22"/>
      <c r="KJR47" s="22"/>
      <c r="KJS47" s="22"/>
      <c r="KJT47" s="22"/>
      <c r="KJU47" s="22"/>
      <c r="KJV47" s="22"/>
      <c r="KJW47" s="22"/>
      <c r="KJX47" s="22"/>
      <c r="KJY47" s="22"/>
      <c r="KJZ47" s="22"/>
      <c r="KKA47" s="22"/>
      <c r="KKB47" s="22"/>
      <c r="KKC47" s="22"/>
      <c r="KKD47" s="22"/>
      <c r="KKE47" s="22"/>
      <c r="KKF47" s="22"/>
      <c r="KKG47" s="22"/>
      <c r="KKH47" s="22"/>
      <c r="KKI47" s="22"/>
      <c r="KKJ47" s="22"/>
      <c r="KKK47" s="22"/>
      <c r="KKL47" s="22"/>
      <c r="KKM47" s="22"/>
      <c r="KKN47" s="22"/>
      <c r="KKO47" s="22"/>
      <c r="KKP47" s="22"/>
      <c r="KKQ47" s="22"/>
      <c r="KKR47" s="22"/>
      <c r="KKS47" s="22"/>
      <c r="KKT47" s="22"/>
      <c r="KKU47" s="22"/>
      <c r="KKV47" s="22"/>
      <c r="KKW47" s="22"/>
      <c r="KKX47" s="22"/>
      <c r="KKY47" s="22"/>
      <c r="KKZ47" s="22"/>
      <c r="KLA47" s="22"/>
      <c r="KLB47" s="22"/>
      <c r="KLC47" s="22"/>
      <c r="KLD47" s="22"/>
      <c r="KLE47" s="22"/>
      <c r="KLF47" s="22"/>
      <c r="KLG47" s="22"/>
      <c r="KLH47" s="22"/>
      <c r="KLI47" s="22"/>
      <c r="KLJ47" s="22"/>
      <c r="KLK47" s="22"/>
      <c r="KLL47" s="22"/>
      <c r="KLM47" s="22"/>
      <c r="KLN47" s="22"/>
      <c r="KLO47" s="22"/>
      <c r="KLP47" s="22"/>
      <c r="KLQ47" s="22"/>
      <c r="KLR47" s="22"/>
      <c r="KLS47" s="22"/>
      <c r="KLT47" s="22"/>
      <c r="KLU47" s="22"/>
      <c r="KLV47" s="22"/>
      <c r="KLW47" s="22"/>
      <c r="KLX47" s="22"/>
      <c r="KLY47" s="22"/>
      <c r="KLZ47" s="22"/>
      <c r="KMA47" s="22"/>
      <c r="KMB47" s="22"/>
      <c r="KMC47" s="22"/>
      <c r="KMD47" s="22"/>
      <c r="KME47" s="22"/>
      <c r="KMF47" s="22"/>
      <c r="KMG47" s="22"/>
      <c r="KMH47" s="22"/>
      <c r="KMI47" s="22"/>
      <c r="KMJ47" s="22"/>
      <c r="KMK47" s="22"/>
      <c r="KML47" s="22"/>
      <c r="KMM47" s="22"/>
      <c r="KMN47" s="22"/>
      <c r="KMO47" s="22"/>
      <c r="KMP47" s="22"/>
      <c r="KMQ47" s="22"/>
      <c r="KMR47" s="22"/>
      <c r="KMS47" s="22"/>
      <c r="KMT47" s="22"/>
      <c r="KMU47" s="22"/>
      <c r="KMV47" s="22"/>
      <c r="KMW47" s="22"/>
      <c r="KMX47" s="22"/>
      <c r="KMY47" s="22"/>
      <c r="KMZ47" s="22"/>
      <c r="KNA47" s="22"/>
      <c r="KNB47" s="22"/>
      <c r="KNC47" s="22"/>
      <c r="KND47" s="22"/>
      <c r="KNE47" s="22"/>
      <c r="KNF47" s="22"/>
      <c r="KNG47" s="22"/>
      <c r="KNH47" s="22"/>
      <c r="KNI47" s="22"/>
      <c r="KNJ47" s="22"/>
      <c r="KNK47" s="22"/>
      <c r="KNL47" s="22"/>
      <c r="KNM47" s="22"/>
      <c r="KNN47" s="22"/>
      <c r="KNO47" s="22"/>
      <c r="KNP47" s="22"/>
      <c r="KNQ47" s="22"/>
      <c r="KNR47" s="22"/>
      <c r="KNS47" s="22"/>
      <c r="KNT47" s="22"/>
      <c r="KNU47" s="22"/>
      <c r="KNV47" s="22"/>
      <c r="KNW47" s="22"/>
      <c r="KNX47" s="22"/>
      <c r="KNY47" s="22"/>
      <c r="KNZ47" s="22"/>
      <c r="KOA47" s="22"/>
      <c r="KOB47" s="22"/>
      <c r="KOC47" s="22"/>
      <c r="KOD47" s="22"/>
      <c r="KOE47" s="22"/>
      <c r="KOF47" s="22"/>
      <c r="KOG47" s="22"/>
      <c r="KOH47" s="22"/>
      <c r="KOI47" s="22"/>
      <c r="KOJ47" s="22"/>
      <c r="KOK47" s="22"/>
      <c r="KOL47" s="22"/>
      <c r="KOM47" s="22"/>
      <c r="KON47" s="22"/>
      <c r="KOO47" s="22"/>
      <c r="KOP47" s="22"/>
      <c r="KOQ47" s="22"/>
      <c r="KOR47" s="22"/>
      <c r="KOS47" s="22"/>
      <c r="KOT47" s="22"/>
      <c r="KOU47" s="22"/>
      <c r="KOV47" s="22"/>
      <c r="KOW47" s="22"/>
      <c r="KOX47" s="22"/>
      <c r="KOY47" s="22"/>
      <c r="KOZ47" s="22"/>
      <c r="KPA47" s="22"/>
      <c r="KPB47" s="22"/>
      <c r="KPC47" s="22"/>
      <c r="KPD47" s="22"/>
      <c r="KPE47" s="22"/>
      <c r="KPF47" s="22"/>
      <c r="KPG47" s="22"/>
      <c r="KPH47" s="22"/>
      <c r="KPI47" s="22"/>
      <c r="KPJ47" s="22"/>
      <c r="KPK47" s="22"/>
      <c r="KPL47" s="22"/>
      <c r="KPM47" s="22"/>
      <c r="KPN47" s="22"/>
      <c r="KPO47" s="22"/>
      <c r="KPP47" s="22"/>
      <c r="KPQ47" s="22"/>
      <c r="KPR47" s="22"/>
      <c r="KPS47" s="22"/>
      <c r="KPT47" s="22"/>
      <c r="KPU47" s="22"/>
      <c r="KPV47" s="22"/>
      <c r="KPW47" s="22"/>
      <c r="KPX47" s="22"/>
      <c r="KPY47" s="22"/>
      <c r="KPZ47" s="22"/>
      <c r="KQA47" s="22"/>
      <c r="KQB47" s="22"/>
      <c r="KQC47" s="22"/>
      <c r="KQD47" s="22"/>
      <c r="KQE47" s="22"/>
      <c r="KQF47" s="22"/>
      <c r="KQG47" s="22"/>
      <c r="KQH47" s="22"/>
      <c r="KQI47" s="22"/>
      <c r="KQJ47" s="22"/>
      <c r="KQK47" s="22"/>
      <c r="KQL47" s="22"/>
      <c r="KQM47" s="22"/>
      <c r="KQN47" s="22"/>
      <c r="KQO47" s="22"/>
      <c r="KQP47" s="22"/>
      <c r="KQQ47" s="22"/>
      <c r="KQR47" s="22"/>
      <c r="KQS47" s="22"/>
      <c r="KQT47" s="22"/>
      <c r="KQU47" s="22"/>
      <c r="KQV47" s="22"/>
      <c r="KQW47" s="22"/>
      <c r="KQX47" s="22"/>
      <c r="KQY47" s="22"/>
      <c r="KQZ47" s="22"/>
      <c r="KRA47" s="22"/>
      <c r="KRB47" s="22"/>
      <c r="KRC47" s="22"/>
      <c r="KRD47" s="22"/>
      <c r="KRE47" s="22"/>
      <c r="KRF47" s="22"/>
      <c r="KRG47" s="22"/>
      <c r="KRH47" s="22"/>
      <c r="KRI47" s="22"/>
      <c r="KRJ47" s="22"/>
      <c r="KRK47" s="22"/>
      <c r="KRL47" s="22"/>
      <c r="KRM47" s="22"/>
      <c r="KRN47" s="22"/>
      <c r="KRO47" s="22"/>
      <c r="KRP47" s="22"/>
      <c r="KRQ47" s="22"/>
      <c r="KRR47" s="22"/>
      <c r="KRS47" s="22"/>
      <c r="KRT47" s="22"/>
      <c r="KRU47" s="22"/>
      <c r="KRV47" s="22"/>
      <c r="KRW47" s="22"/>
      <c r="KRX47" s="22"/>
      <c r="KRY47" s="22"/>
      <c r="KRZ47" s="22"/>
      <c r="KSA47" s="22"/>
      <c r="KSB47" s="22"/>
      <c r="KSC47" s="22"/>
      <c r="KSD47" s="22"/>
      <c r="KSE47" s="22"/>
      <c r="KSF47" s="22"/>
      <c r="KSG47" s="22"/>
      <c r="KSH47" s="22"/>
      <c r="KSI47" s="22"/>
      <c r="KSJ47" s="22"/>
      <c r="KSK47" s="22"/>
      <c r="KSL47" s="22"/>
      <c r="KSM47" s="22"/>
      <c r="KSN47" s="22"/>
      <c r="KSO47" s="22"/>
      <c r="KSP47" s="22"/>
      <c r="KSQ47" s="22"/>
      <c r="KSR47" s="22"/>
      <c r="KSS47" s="22"/>
      <c r="KST47" s="22"/>
      <c r="KSU47" s="22"/>
      <c r="KSV47" s="22"/>
      <c r="KSW47" s="22"/>
      <c r="KSX47" s="22"/>
      <c r="KSY47" s="22"/>
      <c r="KSZ47" s="22"/>
      <c r="KTA47" s="22"/>
      <c r="KTB47" s="22"/>
      <c r="KTC47" s="22"/>
      <c r="KTD47" s="22"/>
      <c r="KTE47" s="22"/>
      <c r="KTF47" s="22"/>
      <c r="KTG47" s="22"/>
      <c r="KTH47" s="22"/>
      <c r="KTI47" s="22"/>
      <c r="KTJ47" s="22"/>
      <c r="KTK47" s="22"/>
      <c r="KTL47" s="22"/>
      <c r="KTM47" s="22"/>
      <c r="KTN47" s="22"/>
      <c r="KTO47" s="22"/>
      <c r="KTP47" s="22"/>
      <c r="KTQ47" s="22"/>
      <c r="KTR47" s="22"/>
      <c r="KTS47" s="22"/>
      <c r="KTT47" s="22"/>
      <c r="KTU47" s="22"/>
      <c r="KTV47" s="22"/>
      <c r="KTW47" s="22"/>
      <c r="KTX47" s="22"/>
      <c r="KTY47" s="22"/>
      <c r="KTZ47" s="22"/>
      <c r="KUA47" s="22"/>
      <c r="KUB47" s="22"/>
      <c r="KUC47" s="22"/>
      <c r="KUD47" s="22"/>
      <c r="KUE47" s="22"/>
      <c r="KUF47" s="22"/>
      <c r="KUG47" s="22"/>
      <c r="KUH47" s="22"/>
      <c r="KUI47" s="22"/>
      <c r="KUJ47" s="22"/>
      <c r="KUK47" s="22"/>
      <c r="KUL47" s="22"/>
      <c r="KUM47" s="22"/>
      <c r="KUN47" s="22"/>
      <c r="KUO47" s="22"/>
      <c r="KUP47" s="22"/>
      <c r="KUQ47" s="22"/>
      <c r="KUR47" s="22"/>
      <c r="KUS47" s="22"/>
      <c r="KUT47" s="22"/>
      <c r="KUU47" s="22"/>
      <c r="KUV47" s="22"/>
      <c r="KUW47" s="22"/>
      <c r="KUX47" s="22"/>
      <c r="KUY47" s="22"/>
      <c r="KUZ47" s="22"/>
      <c r="KVA47" s="22"/>
      <c r="KVB47" s="22"/>
      <c r="KVC47" s="22"/>
      <c r="KVD47" s="22"/>
      <c r="KVE47" s="22"/>
      <c r="KVF47" s="22"/>
      <c r="KVG47" s="22"/>
      <c r="KVH47" s="22"/>
      <c r="KVI47" s="22"/>
      <c r="KVJ47" s="22"/>
      <c r="KVK47" s="22"/>
      <c r="KVL47" s="22"/>
      <c r="KVM47" s="22"/>
      <c r="KVN47" s="22"/>
      <c r="KVO47" s="22"/>
      <c r="KVP47" s="22"/>
      <c r="KVQ47" s="22"/>
      <c r="KVR47" s="22"/>
      <c r="KVS47" s="22"/>
      <c r="KVT47" s="22"/>
      <c r="KVU47" s="22"/>
      <c r="KVV47" s="22"/>
      <c r="KVW47" s="22"/>
      <c r="KVX47" s="22"/>
      <c r="KVY47" s="22"/>
      <c r="KVZ47" s="22"/>
      <c r="KWA47" s="22"/>
      <c r="KWB47" s="22"/>
      <c r="KWC47" s="22"/>
      <c r="KWD47" s="22"/>
      <c r="KWE47" s="22"/>
      <c r="KWF47" s="22"/>
      <c r="KWG47" s="22"/>
      <c r="KWH47" s="22"/>
      <c r="KWI47" s="22"/>
      <c r="KWJ47" s="22"/>
      <c r="KWK47" s="22"/>
      <c r="KWL47" s="22"/>
      <c r="KWM47" s="22"/>
      <c r="KWN47" s="22"/>
      <c r="KWO47" s="22"/>
      <c r="KWP47" s="22"/>
      <c r="KWQ47" s="22"/>
      <c r="KWR47" s="22"/>
      <c r="KWS47" s="22"/>
      <c r="KWT47" s="22"/>
      <c r="KWU47" s="22"/>
      <c r="KWV47" s="22"/>
      <c r="KWW47" s="22"/>
      <c r="KWX47" s="22"/>
      <c r="KWY47" s="22"/>
      <c r="KWZ47" s="22"/>
      <c r="KXA47" s="22"/>
      <c r="KXB47" s="22"/>
      <c r="KXC47" s="22"/>
      <c r="KXD47" s="22"/>
      <c r="KXE47" s="22"/>
      <c r="KXF47" s="22"/>
      <c r="KXG47" s="22"/>
      <c r="KXH47" s="22"/>
      <c r="KXI47" s="22"/>
      <c r="KXJ47" s="22"/>
      <c r="KXK47" s="22"/>
      <c r="KXL47" s="22"/>
      <c r="KXM47" s="22"/>
      <c r="KXN47" s="22"/>
      <c r="KXO47" s="22"/>
      <c r="KXP47" s="22"/>
      <c r="KXQ47" s="22"/>
      <c r="KXR47" s="22"/>
      <c r="KXS47" s="22"/>
      <c r="KXT47" s="22"/>
      <c r="KXU47" s="22"/>
      <c r="KXV47" s="22"/>
      <c r="KXW47" s="22"/>
      <c r="KXX47" s="22"/>
      <c r="KXY47" s="22"/>
      <c r="KXZ47" s="22"/>
      <c r="KYA47" s="22"/>
      <c r="KYB47" s="22"/>
      <c r="KYC47" s="22"/>
      <c r="KYD47" s="22"/>
      <c r="KYE47" s="22"/>
      <c r="KYF47" s="22"/>
      <c r="KYG47" s="22"/>
      <c r="KYH47" s="22"/>
      <c r="KYI47" s="22"/>
      <c r="KYJ47" s="22"/>
      <c r="KYK47" s="22"/>
      <c r="KYL47" s="22"/>
      <c r="KYM47" s="22"/>
      <c r="KYN47" s="22"/>
      <c r="KYO47" s="22"/>
      <c r="KYP47" s="22"/>
      <c r="KYQ47" s="22"/>
      <c r="KYR47" s="22"/>
      <c r="KYS47" s="22"/>
      <c r="KYT47" s="22"/>
      <c r="KYU47" s="22"/>
      <c r="KYV47" s="22"/>
      <c r="KYW47" s="22"/>
      <c r="KYX47" s="22"/>
      <c r="KYY47" s="22"/>
      <c r="KYZ47" s="22"/>
      <c r="KZA47" s="22"/>
      <c r="KZB47" s="22"/>
      <c r="KZC47" s="22"/>
      <c r="KZD47" s="22"/>
      <c r="KZE47" s="22"/>
      <c r="KZF47" s="22"/>
      <c r="KZG47" s="22"/>
      <c r="KZH47" s="22"/>
      <c r="KZI47" s="22"/>
      <c r="KZJ47" s="22"/>
      <c r="KZK47" s="22"/>
      <c r="KZL47" s="22"/>
      <c r="KZM47" s="22"/>
      <c r="KZN47" s="22"/>
      <c r="KZO47" s="22"/>
      <c r="KZP47" s="22"/>
      <c r="KZQ47" s="22"/>
      <c r="KZR47" s="22"/>
      <c r="KZS47" s="22"/>
      <c r="KZT47" s="22"/>
      <c r="KZU47" s="22"/>
      <c r="KZV47" s="22"/>
      <c r="KZW47" s="22"/>
      <c r="KZX47" s="22"/>
      <c r="KZY47" s="22"/>
      <c r="KZZ47" s="22"/>
      <c r="LAA47" s="22"/>
      <c r="LAB47" s="22"/>
      <c r="LAC47" s="22"/>
      <c r="LAD47" s="22"/>
      <c r="LAE47" s="22"/>
      <c r="LAF47" s="22"/>
      <c r="LAG47" s="22"/>
      <c r="LAH47" s="22"/>
      <c r="LAI47" s="22"/>
      <c r="LAJ47" s="22"/>
      <c r="LAK47" s="22"/>
      <c r="LAL47" s="22"/>
      <c r="LAM47" s="22"/>
      <c r="LAN47" s="22"/>
      <c r="LAO47" s="22"/>
      <c r="LAP47" s="22"/>
      <c r="LAQ47" s="22"/>
      <c r="LAR47" s="22"/>
      <c r="LAS47" s="22"/>
      <c r="LAT47" s="22"/>
      <c r="LAU47" s="22"/>
      <c r="LAV47" s="22"/>
      <c r="LAW47" s="22"/>
      <c r="LAX47" s="22"/>
      <c r="LAY47" s="22"/>
      <c r="LAZ47" s="22"/>
      <c r="LBA47" s="22"/>
      <c r="LBB47" s="22"/>
      <c r="LBC47" s="22"/>
      <c r="LBD47" s="22"/>
      <c r="LBE47" s="22"/>
      <c r="LBF47" s="22"/>
      <c r="LBG47" s="22"/>
      <c r="LBH47" s="22"/>
      <c r="LBI47" s="22"/>
      <c r="LBJ47" s="22"/>
      <c r="LBK47" s="22"/>
      <c r="LBL47" s="22"/>
      <c r="LBM47" s="22"/>
      <c r="LBN47" s="22"/>
      <c r="LBO47" s="22"/>
      <c r="LBP47" s="22"/>
      <c r="LBQ47" s="22"/>
      <c r="LBR47" s="22"/>
      <c r="LBS47" s="22"/>
      <c r="LBT47" s="22"/>
      <c r="LBU47" s="22"/>
      <c r="LBV47" s="22"/>
      <c r="LBW47" s="22"/>
      <c r="LBX47" s="22"/>
      <c r="LBY47" s="22"/>
      <c r="LBZ47" s="22"/>
      <c r="LCA47" s="22"/>
      <c r="LCB47" s="22"/>
      <c r="LCC47" s="22"/>
      <c r="LCD47" s="22"/>
      <c r="LCE47" s="22"/>
      <c r="LCF47" s="22"/>
      <c r="LCG47" s="22"/>
      <c r="LCH47" s="22"/>
      <c r="LCI47" s="22"/>
      <c r="LCJ47" s="22"/>
      <c r="LCK47" s="22"/>
      <c r="LCL47" s="22"/>
      <c r="LCM47" s="22"/>
      <c r="LCN47" s="22"/>
      <c r="LCO47" s="22"/>
      <c r="LCP47" s="22"/>
      <c r="LCQ47" s="22"/>
      <c r="LCR47" s="22"/>
      <c r="LCS47" s="22"/>
      <c r="LCT47" s="22"/>
      <c r="LCU47" s="22"/>
      <c r="LCV47" s="22"/>
      <c r="LCW47" s="22"/>
      <c r="LCX47" s="22"/>
      <c r="LCY47" s="22"/>
      <c r="LCZ47" s="22"/>
      <c r="LDA47" s="22"/>
      <c r="LDB47" s="22"/>
      <c r="LDC47" s="22"/>
      <c r="LDD47" s="22"/>
      <c r="LDE47" s="22"/>
      <c r="LDF47" s="22"/>
      <c r="LDG47" s="22"/>
      <c r="LDH47" s="22"/>
      <c r="LDI47" s="22"/>
      <c r="LDJ47" s="22"/>
      <c r="LDK47" s="22"/>
      <c r="LDL47" s="22"/>
      <c r="LDM47" s="22"/>
      <c r="LDN47" s="22"/>
      <c r="LDO47" s="22"/>
      <c r="LDP47" s="22"/>
      <c r="LDQ47" s="22"/>
      <c r="LDR47" s="22"/>
      <c r="LDS47" s="22"/>
      <c r="LDT47" s="22"/>
      <c r="LDU47" s="22"/>
      <c r="LDV47" s="22"/>
      <c r="LDW47" s="22"/>
      <c r="LDX47" s="22"/>
      <c r="LDY47" s="22"/>
      <c r="LDZ47" s="22"/>
      <c r="LEA47" s="22"/>
      <c r="LEB47" s="22"/>
      <c r="LEC47" s="22"/>
      <c r="LED47" s="22"/>
      <c r="LEE47" s="22"/>
      <c r="LEF47" s="22"/>
      <c r="LEG47" s="22"/>
      <c r="LEH47" s="22"/>
      <c r="LEI47" s="22"/>
      <c r="LEJ47" s="22"/>
      <c r="LEK47" s="22"/>
      <c r="LEL47" s="22"/>
      <c r="LEM47" s="22"/>
      <c r="LEN47" s="22"/>
      <c r="LEO47" s="22"/>
      <c r="LEP47" s="22"/>
      <c r="LEQ47" s="22"/>
      <c r="LER47" s="22"/>
      <c r="LES47" s="22"/>
      <c r="LET47" s="22"/>
      <c r="LEU47" s="22"/>
      <c r="LEV47" s="22"/>
      <c r="LEW47" s="22"/>
      <c r="LEX47" s="22"/>
      <c r="LEY47" s="22"/>
      <c r="LEZ47" s="22"/>
      <c r="LFA47" s="22"/>
      <c r="LFB47" s="22"/>
      <c r="LFC47" s="22"/>
      <c r="LFD47" s="22"/>
      <c r="LFE47" s="22"/>
      <c r="LFF47" s="22"/>
      <c r="LFG47" s="22"/>
      <c r="LFH47" s="22"/>
      <c r="LFI47" s="22"/>
      <c r="LFJ47" s="22"/>
      <c r="LFK47" s="22"/>
      <c r="LFL47" s="22"/>
      <c r="LFM47" s="22"/>
      <c r="LFN47" s="22"/>
      <c r="LFO47" s="22"/>
      <c r="LFP47" s="22"/>
      <c r="LFQ47" s="22"/>
      <c r="LFR47" s="22"/>
      <c r="LFS47" s="22"/>
      <c r="LFT47" s="22"/>
      <c r="LFU47" s="22"/>
      <c r="LFV47" s="22"/>
      <c r="LFW47" s="22"/>
      <c r="LFX47" s="22"/>
      <c r="LFY47" s="22"/>
      <c r="LFZ47" s="22"/>
      <c r="LGA47" s="22"/>
      <c r="LGB47" s="22"/>
      <c r="LGC47" s="22"/>
      <c r="LGD47" s="22"/>
      <c r="LGE47" s="22"/>
      <c r="LGF47" s="22"/>
      <c r="LGG47" s="22"/>
      <c r="LGH47" s="22"/>
      <c r="LGI47" s="22"/>
      <c r="LGJ47" s="22"/>
      <c r="LGK47" s="22"/>
      <c r="LGL47" s="22"/>
      <c r="LGM47" s="22"/>
      <c r="LGN47" s="22"/>
      <c r="LGO47" s="22"/>
      <c r="LGP47" s="22"/>
      <c r="LGQ47" s="22"/>
      <c r="LGR47" s="22"/>
      <c r="LGS47" s="22"/>
      <c r="LGT47" s="22"/>
      <c r="LGU47" s="22"/>
      <c r="LGV47" s="22"/>
      <c r="LGW47" s="22"/>
      <c r="LGX47" s="22"/>
      <c r="LGY47" s="22"/>
      <c r="LGZ47" s="22"/>
      <c r="LHA47" s="22"/>
      <c r="LHB47" s="22"/>
      <c r="LHC47" s="22"/>
      <c r="LHD47" s="22"/>
      <c r="LHE47" s="22"/>
      <c r="LHF47" s="22"/>
      <c r="LHG47" s="22"/>
      <c r="LHH47" s="22"/>
      <c r="LHI47" s="22"/>
      <c r="LHJ47" s="22"/>
      <c r="LHK47" s="22"/>
      <c r="LHL47" s="22"/>
      <c r="LHM47" s="22"/>
      <c r="LHN47" s="22"/>
      <c r="LHO47" s="22"/>
      <c r="LHP47" s="22"/>
      <c r="LHQ47" s="22"/>
      <c r="LHR47" s="22"/>
      <c r="LHS47" s="22"/>
      <c r="LHT47" s="22"/>
      <c r="LHU47" s="22"/>
      <c r="LHV47" s="22"/>
      <c r="LHW47" s="22"/>
      <c r="LHX47" s="22"/>
      <c r="LHY47" s="22"/>
      <c r="LHZ47" s="22"/>
      <c r="LIA47" s="22"/>
      <c r="LIB47" s="22"/>
      <c r="LIC47" s="22"/>
      <c r="LID47" s="22"/>
      <c r="LIE47" s="22"/>
      <c r="LIF47" s="22"/>
      <c r="LIG47" s="22"/>
      <c r="LIH47" s="22"/>
      <c r="LII47" s="22"/>
      <c r="LIJ47" s="22"/>
      <c r="LIK47" s="22"/>
      <c r="LIL47" s="22"/>
      <c r="LIM47" s="22"/>
      <c r="LIN47" s="22"/>
      <c r="LIO47" s="22"/>
      <c r="LIP47" s="22"/>
      <c r="LIQ47" s="22"/>
      <c r="LIR47" s="22"/>
      <c r="LIS47" s="22"/>
      <c r="LIT47" s="22"/>
      <c r="LIU47" s="22"/>
      <c r="LIV47" s="22"/>
      <c r="LIW47" s="22"/>
      <c r="LIX47" s="22"/>
      <c r="LIY47" s="22"/>
      <c r="LIZ47" s="22"/>
      <c r="LJA47" s="22"/>
      <c r="LJB47" s="22"/>
      <c r="LJC47" s="22"/>
      <c r="LJD47" s="22"/>
      <c r="LJE47" s="22"/>
      <c r="LJF47" s="22"/>
      <c r="LJG47" s="22"/>
      <c r="LJH47" s="22"/>
      <c r="LJI47" s="22"/>
      <c r="LJJ47" s="22"/>
      <c r="LJK47" s="22"/>
      <c r="LJL47" s="22"/>
      <c r="LJM47" s="22"/>
      <c r="LJN47" s="22"/>
      <c r="LJO47" s="22"/>
      <c r="LJP47" s="22"/>
      <c r="LJQ47" s="22"/>
      <c r="LJR47" s="22"/>
      <c r="LJS47" s="22"/>
      <c r="LJT47" s="22"/>
      <c r="LJU47" s="22"/>
      <c r="LJV47" s="22"/>
      <c r="LJW47" s="22"/>
      <c r="LJX47" s="22"/>
      <c r="LJY47" s="22"/>
      <c r="LJZ47" s="22"/>
      <c r="LKA47" s="22"/>
      <c r="LKB47" s="22"/>
      <c r="LKC47" s="22"/>
      <c r="LKD47" s="22"/>
      <c r="LKE47" s="22"/>
      <c r="LKF47" s="22"/>
      <c r="LKG47" s="22"/>
      <c r="LKH47" s="22"/>
      <c r="LKI47" s="22"/>
      <c r="LKJ47" s="22"/>
      <c r="LKK47" s="22"/>
      <c r="LKL47" s="22"/>
      <c r="LKM47" s="22"/>
      <c r="LKN47" s="22"/>
      <c r="LKO47" s="22"/>
      <c r="LKP47" s="22"/>
      <c r="LKQ47" s="22"/>
      <c r="LKR47" s="22"/>
      <c r="LKS47" s="22"/>
      <c r="LKT47" s="22"/>
      <c r="LKU47" s="22"/>
      <c r="LKV47" s="22"/>
      <c r="LKW47" s="22"/>
      <c r="LKX47" s="22"/>
      <c r="LKY47" s="22"/>
      <c r="LKZ47" s="22"/>
      <c r="LLA47" s="22"/>
      <c r="LLB47" s="22"/>
      <c r="LLC47" s="22"/>
      <c r="LLD47" s="22"/>
      <c r="LLE47" s="22"/>
      <c r="LLF47" s="22"/>
      <c r="LLG47" s="22"/>
      <c r="LLH47" s="22"/>
      <c r="LLI47" s="22"/>
      <c r="LLJ47" s="22"/>
      <c r="LLK47" s="22"/>
      <c r="LLL47" s="22"/>
      <c r="LLM47" s="22"/>
      <c r="LLN47" s="22"/>
      <c r="LLO47" s="22"/>
      <c r="LLP47" s="22"/>
      <c r="LLQ47" s="22"/>
      <c r="LLR47" s="22"/>
      <c r="LLS47" s="22"/>
      <c r="LLT47" s="22"/>
      <c r="LLU47" s="22"/>
      <c r="LLV47" s="22"/>
      <c r="LLW47" s="22"/>
      <c r="LLX47" s="22"/>
      <c r="LLY47" s="22"/>
      <c r="LLZ47" s="22"/>
      <c r="LMA47" s="22"/>
      <c r="LMB47" s="22"/>
      <c r="LMC47" s="22"/>
      <c r="LMD47" s="22"/>
      <c r="LME47" s="22"/>
      <c r="LMF47" s="22"/>
      <c r="LMG47" s="22"/>
      <c r="LMH47" s="22"/>
      <c r="LMI47" s="22"/>
      <c r="LMJ47" s="22"/>
      <c r="LMK47" s="22"/>
      <c r="LML47" s="22"/>
      <c r="LMM47" s="22"/>
      <c r="LMN47" s="22"/>
      <c r="LMO47" s="22"/>
      <c r="LMP47" s="22"/>
      <c r="LMQ47" s="22"/>
      <c r="LMR47" s="22"/>
      <c r="LMS47" s="22"/>
      <c r="LMT47" s="22"/>
      <c r="LMU47" s="22"/>
      <c r="LMV47" s="22"/>
      <c r="LMW47" s="22"/>
      <c r="LMX47" s="22"/>
      <c r="LMY47" s="22"/>
      <c r="LMZ47" s="22"/>
      <c r="LNA47" s="22"/>
      <c r="LNB47" s="22"/>
      <c r="LNC47" s="22"/>
      <c r="LND47" s="22"/>
      <c r="LNE47" s="22"/>
      <c r="LNF47" s="22"/>
      <c r="LNG47" s="22"/>
      <c r="LNH47" s="22"/>
      <c r="LNI47" s="22"/>
      <c r="LNJ47" s="22"/>
      <c r="LNK47" s="22"/>
      <c r="LNL47" s="22"/>
      <c r="LNM47" s="22"/>
      <c r="LNN47" s="22"/>
      <c r="LNO47" s="22"/>
      <c r="LNP47" s="22"/>
      <c r="LNQ47" s="22"/>
      <c r="LNR47" s="22"/>
      <c r="LNS47" s="22"/>
      <c r="LNT47" s="22"/>
      <c r="LNU47" s="22"/>
      <c r="LNV47" s="22"/>
      <c r="LNW47" s="22"/>
      <c r="LNX47" s="22"/>
      <c r="LNY47" s="22"/>
      <c r="LNZ47" s="22"/>
      <c r="LOA47" s="22"/>
      <c r="LOB47" s="22"/>
      <c r="LOC47" s="22"/>
      <c r="LOD47" s="22"/>
      <c r="LOE47" s="22"/>
      <c r="LOF47" s="22"/>
      <c r="LOG47" s="22"/>
      <c r="LOH47" s="22"/>
      <c r="LOI47" s="22"/>
      <c r="LOJ47" s="22"/>
      <c r="LOK47" s="22"/>
      <c r="LOL47" s="22"/>
      <c r="LOM47" s="22"/>
      <c r="LON47" s="22"/>
      <c r="LOO47" s="22"/>
      <c r="LOP47" s="22"/>
      <c r="LOQ47" s="22"/>
      <c r="LOR47" s="22"/>
      <c r="LOS47" s="22"/>
      <c r="LOT47" s="22"/>
      <c r="LOU47" s="22"/>
      <c r="LOV47" s="22"/>
      <c r="LOW47" s="22"/>
      <c r="LOX47" s="22"/>
      <c r="LOY47" s="22"/>
      <c r="LOZ47" s="22"/>
      <c r="LPA47" s="22"/>
      <c r="LPB47" s="22"/>
      <c r="LPC47" s="22"/>
      <c r="LPD47" s="22"/>
      <c r="LPE47" s="22"/>
      <c r="LPF47" s="22"/>
      <c r="LPG47" s="22"/>
      <c r="LPH47" s="22"/>
      <c r="LPI47" s="22"/>
      <c r="LPJ47" s="22"/>
      <c r="LPK47" s="22"/>
      <c r="LPL47" s="22"/>
      <c r="LPM47" s="22"/>
      <c r="LPN47" s="22"/>
      <c r="LPO47" s="22"/>
      <c r="LPP47" s="22"/>
      <c r="LPQ47" s="22"/>
      <c r="LPR47" s="22"/>
      <c r="LPS47" s="22"/>
      <c r="LPT47" s="22"/>
      <c r="LPU47" s="22"/>
      <c r="LPV47" s="22"/>
      <c r="LPW47" s="22"/>
      <c r="LPX47" s="22"/>
      <c r="LPY47" s="22"/>
      <c r="LPZ47" s="22"/>
      <c r="LQA47" s="22"/>
      <c r="LQB47" s="22"/>
      <c r="LQC47" s="22"/>
      <c r="LQD47" s="22"/>
      <c r="LQE47" s="22"/>
      <c r="LQF47" s="22"/>
      <c r="LQG47" s="22"/>
      <c r="LQH47" s="22"/>
      <c r="LQI47" s="22"/>
      <c r="LQJ47" s="22"/>
      <c r="LQK47" s="22"/>
      <c r="LQL47" s="22"/>
      <c r="LQM47" s="22"/>
      <c r="LQN47" s="22"/>
      <c r="LQO47" s="22"/>
      <c r="LQP47" s="22"/>
      <c r="LQQ47" s="22"/>
      <c r="LQR47" s="22"/>
      <c r="LQS47" s="22"/>
      <c r="LQT47" s="22"/>
      <c r="LQU47" s="22"/>
      <c r="LQV47" s="22"/>
      <c r="LQW47" s="22"/>
      <c r="LQX47" s="22"/>
      <c r="LQY47" s="22"/>
      <c r="LQZ47" s="22"/>
      <c r="LRA47" s="22"/>
      <c r="LRB47" s="22"/>
      <c r="LRC47" s="22"/>
      <c r="LRD47" s="22"/>
      <c r="LRE47" s="22"/>
      <c r="LRF47" s="22"/>
      <c r="LRG47" s="22"/>
      <c r="LRH47" s="22"/>
      <c r="LRI47" s="22"/>
      <c r="LRJ47" s="22"/>
      <c r="LRK47" s="22"/>
      <c r="LRL47" s="22"/>
      <c r="LRM47" s="22"/>
      <c r="LRN47" s="22"/>
      <c r="LRO47" s="22"/>
      <c r="LRP47" s="22"/>
      <c r="LRQ47" s="22"/>
      <c r="LRR47" s="22"/>
      <c r="LRS47" s="22"/>
      <c r="LRT47" s="22"/>
      <c r="LRU47" s="22"/>
      <c r="LRV47" s="22"/>
      <c r="LRW47" s="22"/>
      <c r="LRX47" s="22"/>
      <c r="LRY47" s="22"/>
      <c r="LRZ47" s="22"/>
      <c r="LSA47" s="22"/>
      <c r="LSB47" s="22"/>
      <c r="LSC47" s="22"/>
      <c r="LSD47" s="22"/>
      <c r="LSE47" s="22"/>
      <c r="LSF47" s="22"/>
      <c r="LSG47" s="22"/>
      <c r="LSH47" s="22"/>
      <c r="LSI47" s="22"/>
      <c r="LSJ47" s="22"/>
      <c r="LSK47" s="22"/>
      <c r="LSL47" s="22"/>
      <c r="LSM47" s="22"/>
      <c r="LSN47" s="22"/>
      <c r="LSO47" s="22"/>
      <c r="LSP47" s="22"/>
      <c r="LSQ47" s="22"/>
      <c r="LSR47" s="22"/>
      <c r="LSS47" s="22"/>
      <c r="LST47" s="22"/>
      <c r="LSU47" s="22"/>
      <c r="LSV47" s="22"/>
      <c r="LSW47" s="22"/>
      <c r="LSX47" s="22"/>
      <c r="LSY47" s="22"/>
      <c r="LSZ47" s="22"/>
      <c r="LTA47" s="22"/>
      <c r="LTB47" s="22"/>
      <c r="LTC47" s="22"/>
      <c r="LTD47" s="22"/>
      <c r="LTE47" s="22"/>
      <c r="LTF47" s="22"/>
      <c r="LTG47" s="22"/>
      <c r="LTH47" s="22"/>
      <c r="LTI47" s="22"/>
      <c r="LTJ47" s="22"/>
      <c r="LTK47" s="22"/>
      <c r="LTL47" s="22"/>
      <c r="LTM47" s="22"/>
      <c r="LTN47" s="22"/>
      <c r="LTO47" s="22"/>
      <c r="LTP47" s="22"/>
      <c r="LTQ47" s="22"/>
      <c r="LTR47" s="22"/>
      <c r="LTS47" s="22"/>
      <c r="LTT47" s="22"/>
      <c r="LTU47" s="22"/>
      <c r="LTV47" s="22"/>
      <c r="LTW47" s="22"/>
      <c r="LTX47" s="22"/>
      <c r="LTY47" s="22"/>
      <c r="LTZ47" s="22"/>
      <c r="LUA47" s="22"/>
      <c r="LUB47" s="22"/>
      <c r="LUC47" s="22"/>
      <c r="LUD47" s="22"/>
      <c r="LUE47" s="22"/>
      <c r="LUF47" s="22"/>
      <c r="LUG47" s="22"/>
      <c r="LUH47" s="22"/>
      <c r="LUI47" s="22"/>
      <c r="LUJ47" s="22"/>
      <c r="LUK47" s="22"/>
      <c r="LUL47" s="22"/>
      <c r="LUM47" s="22"/>
      <c r="LUN47" s="22"/>
      <c r="LUO47" s="22"/>
      <c r="LUP47" s="22"/>
      <c r="LUQ47" s="22"/>
      <c r="LUR47" s="22"/>
      <c r="LUS47" s="22"/>
      <c r="LUT47" s="22"/>
      <c r="LUU47" s="22"/>
      <c r="LUV47" s="22"/>
      <c r="LUW47" s="22"/>
      <c r="LUX47" s="22"/>
      <c r="LUY47" s="22"/>
      <c r="LUZ47" s="22"/>
      <c r="LVA47" s="22"/>
      <c r="LVB47" s="22"/>
      <c r="LVC47" s="22"/>
      <c r="LVD47" s="22"/>
      <c r="LVE47" s="22"/>
      <c r="LVF47" s="22"/>
      <c r="LVG47" s="22"/>
      <c r="LVH47" s="22"/>
      <c r="LVI47" s="22"/>
      <c r="LVJ47" s="22"/>
      <c r="LVK47" s="22"/>
      <c r="LVL47" s="22"/>
      <c r="LVM47" s="22"/>
      <c r="LVN47" s="22"/>
      <c r="LVO47" s="22"/>
      <c r="LVP47" s="22"/>
      <c r="LVQ47" s="22"/>
      <c r="LVR47" s="22"/>
      <c r="LVS47" s="22"/>
      <c r="LVT47" s="22"/>
      <c r="LVU47" s="22"/>
      <c r="LVV47" s="22"/>
      <c r="LVW47" s="22"/>
      <c r="LVX47" s="22"/>
      <c r="LVY47" s="22"/>
      <c r="LVZ47" s="22"/>
      <c r="LWA47" s="22"/>
      <c r="LWB47" s="22"/>
      <c r="LWC47" s="22"/>
      <c r="LWD47" s="22"/>
      <c r="LWE47" s="22"/>
      <c r="LWF47" s="22"/>
      <c r="LWG47" s="22"/>
      <c r="LWH47" s="22"/>
      <c r="LWI47" s="22"/>
      <c r="LWJ47" s="22"/>
      <c r="LWK47" s="22"/>
      <c r="LWL47" s="22"/>
      <c r="LWM47" s="22"/>
      <c r="LWN47" s="22"/>
      <c r="LWO47" s="22"/>
      <c r="LWP47" s="22"/>
      <c r="LWQ47" s="22"/>
      <c r="LWR47" s="22"/>
      <c r="LWS47" s="22"/>
      <c r="LWT47" s="22"/>
      <c r="LWU47" s="22"/>
      <c r="LWV47" s="22"/>
      <c r="LWW47" s="22"/>
      <c r="LWX47" s="22"/>
      <c r="LWY47" s="22"/>
      <c r="LWZ47" s="22"/>
      <c r="LXA47" s="22"/>
      <c r="LXB47" s="22"/>
      <c r="LXC47" s="22"/>
      <c r="LXD47" s="22"/>
      <c r="LXE47" s="22"/>
      <c r="LXF47" s="22"/>
      <c r="LXG47" s="22"/>
      <c r="LXH47" s="22"/>
      <c r="LXI47" s="22"/>
      <c r="LXJ47" s="22"/>
      <c r="LXK47" s="22"/>
      <c r="LXL47" s="22"/>
      <c r="LXM47" s="22"/>
      <c r="LXN47" s="22"/>
      <c r="LXO47" s="22"/>
      <c r="LXP47" s="22"/>
      <c r="LXQ47" s="22"/>
      <c r="LXR47" s="22"/>
      <c r="LXS47" s="22"/>
      <c r="LXT47" s="22"/>
      <c r="LXU47" s="22"/>
      <c r="LXV47" s="22"/>
      <c r="LXW47" s="22"/>
      <c r="LXX47" s="22"/>
      <c r="LXY47" s="22"/>
      <c r="LXZ47" s="22"/>
      <c r="LYA47" s="22"/>
      <c r="LYB47" s="22"/>
      <c r="LYC47" s="22"/>
      <c r="LYD47" s="22"/>
      <c r="LYE47" s="22"/>
      <c r="LYF47" s="22"/>
      <c r="LYG47" s="22"/>
      <c r="LYH47" s="22"/>
      <c r="LYI47" s="22"/>
      <c r="LYJ47" s="22"/>
      <c r="LYK47" s="22"/>
      <c r="LYL47" s="22"/>
      <c r="LYM47" s="22"/>
      <c r="LYN47" s="22"/>
      <c r="LYO47" s="22"/>
      <c r="LYP47" s="22"/>
      <c r="LYQ47" s="22"/>
      <c r="LYR47" s="22"/>
      <c r="LYS47" s="22"/>
      <c r="LYT47" s="22"/>
      <c r="LYU47" s="22"/>
      <c r="LYV47" s="22"/>
      <c r="LYW47" s="22"/>
      <c r="LYX47" s="22"/>
      <c r="LYY47" s="22"/>
      <c r="LYZ47" s="22"/>
      <c r="LZA47" s="22"/>
      <c r="LZB47" s="22"/>
      <c r="LZC47" s="22"/>
      <c r="LZD47" s="22"/>
      <c r="LZE47" s="22"/>
      <c r="LZF47" s="22"/>
      <c r="LZG47" s="22"/>
      <c r="LZH47" s="22"/>
      <c r="LZI47" s="22"/>
      <c r="LZJ47" s="22"/>
      <c r="LZK47" s="22"/>
      <c r="LZL47" s="22"/>
      <c r="LZM47" s="22"/>
      <c r="LZN47" s="22"/>
      <c r="LZO47" s="22"/>
      <c r="LZP47" s="22"/>
      <c r="LZQ47" s="22"/>
      <c r="LZR47" s="22"/>
      <c r="LZS47" s="22"/>
      <c r="LZT47" s="22"/>
      <c r="LZU47" s="22"/>
      <c r="LZV47" s="22"/>
      <c r="LZW47" s="22"/>
      <c r="LZX47" s="22"/>
      <c r="LZY47" s="22"/>
      <c r="LZZ47" s="22"/>
      <c r="MAA47" s="22"/>
      <c r="MAB47" s="22"/>
      <c r="MAC47" s="22"/>
      <c r="MAD47" s="22"/>
      <c r="MAE47" s="22"/>
      <c r="MAF47" s="22"/>
      <c r="MAG47" s="22"/>
      <c r="MAH47" s="22"/>
      <c r="MAI47" s="22"/>
      <c r="MAJ47" s="22"/>
      <c r="MAK47" s="22"/>
      <c r="MAL47" s="22"/>
      <c r="MAM47" s="22"/>
      <c r="MAN47" s="22"/>
      <c r="MAO47" s="22"/>
      <c r="MAP47" s="22"/>
      <c r="MAQ47" s="22"/>
      <c r="MAR47" s="22"/>
      <c r="MAS47" s="22"/>
      <c r="MAT47" s="22"/>
      <c r="MAU47" s="22"/>
      <c r="MAV47" s="22"/>
      <c r="MAW47" s="22"/>
      <c r="MAX47" s="22"/>
      <c r="MAY47" s="22"/>
      <c r="MAZ47" s="22"/>
      <c r="MBA47" s="22"/>
      <c r="MBB47" s="22"/>
      <c r="MBC47" s="22"/>
      <c r="MBD47" s="22"/>
      <c r="MBE47" s="22"/>
      <c r="MBF47" s="22"/>
      <c r="MBG47" s="22"/>
      <c r="MBH47" s="22"/>
      <c r="MBI47" s="22"/>
      <c r="MBJ47" s="22"/>
      <c r="MBK47" s="22"/>
      <c r="MBL47" s="22"/>
      <c r="MBM47" s="22"/>
      <c r="MBN47" s="22"/>
      <c r="MBO47" s="22"/>
      <c r="MBP47" s="22"/>
      <c r="MBQ47" s="22"/>
      <c r="MBR47" s="22"/>
      <c r="MBS47" s="22"/>
      <c r="MBT47" s="22"/>
      <c r="MBU47" s="22"/>
      <c r="MBV47" s="22"/>
      <c r="MBW47" s="22"/>
      <c r="MBX47" s="22"/>
      <c r="MBY47" s="22"/>
      <c r="MBZ47" s="22"/>
      <c r="MCA47" s="22"/>
      <c r="MCB47" s="22"/>
      <c r="MCC47" s="22"/>
      <c r="MCD47" s="22"/>
      <c r="MCE47" s="22"/>
      <c r="MCF47" s="22"/>
      <c r="MCG47" s="22"/>
      <c r="MCH47" s="22"/>
      <c r="MCI47" s="22"/>
      <c r="MCJ47" s="22"/>
      <c r="MCK47" s="22"/>
      <c r="MCL47" s="22"/>
      <c r="MCM47" s="22"/>
      <c r="MCN47" s="22"/>
      <c r="MCO47" s="22"/>
      <c r="MCP47" s="22"/>
      <c r="MCQ47" s="22"/>
      <c r="MCR47" s="22"/>
      <c r="MCS47" s="22"/>
      <c r="MCT47" s="22"/>
      <c r="MCU47" s="22"/>
      <c r="MCV47" s="22"/>
      <c r="MCW47" s="22"/>
      <c r="MCX47" s="22"/>
      <c r="MCY47" s="22"/>
      <c r="MCZ47" s="22"/>
      <c r="MDA47" s="22"/>
      <c r="MDB47" s="22"/>
      <c r="MDC47" s="22"/>
      <c r="MDD47" s="22"/>
      <c r="MDE47" s="22"/>
      <c r="MDF47" s="22"/>
      <c r="MDG47" s="22"/>
      <c r="MDH47" s="22"/>
      <c r="MDI47" s="22"/>
      <c r="MDJ47" s="22"/>
      <c r="MDK47" s="22"/>
      <c r="MDL47" s="22"/>
      <c r="MDM47" s="22"/>
      <c r="MDN47" s="22"/>
      <c r="MDO47" s="22"/>
      <c r="MDP47" s="22"/>
      <c r="MDQ47" s="22"/>
      <c r="MDR47" s="22"/>
      <c r="MDS47" s="22"/>
      <c r="MDT47" s="22"/>
      <c r="MDU47" s="22"/>
      <c r="MDV47" s="22"/>
      <c r="MDW47" s="22"/>
      <c r="MDX47" s="22"/>
      <c r="MDY47" s="22"/>
      <c r="MDZ47" s="22"/>
      <c r="MEA47" s="22"/>
      <c r="MEB47" s="22"/>
      <c r="MEC47" s="22"/>
      <c r="MED47" s="22"/>
      <c r="MEE47" s="22"/>
      <c r="MEF47" s="22"/>
      <c r="MEG47" s="22"/>
      <c r="MEH47" s="22"/>
      <c r="MEI47" s="22"/>
      <c r="MEJ47" s="22"/>
      <c r="MEK47" s="22"/>
      <c r="MEL47" s="22"/>
      <c r="MEM47" s="22"/>
      <c r="MEN47" s="22"/>
      <c r="MEO47" s="22"/>
      <c r="MEP47" s="22"/>
      <c r="MEQ47" s="22"/>
      <c r="MER47" s="22"/>
      <c r="MES47" s="22"/>
      <c r="MET47" s="22"/>
      <c r="MEU47" s="22"/>
      <c r="MEV47" s="22"/>
      <c r="MEW47" s="22"/>
      <c r="MEX47" s="22"/>
      <c r="MEY47" s="22"/>
      <c r="MEZ47" s="22"/>
      <c r="MFA47" s="22"/>
      <c r="MFB47" s="22"/>
      <c r="MFC47" s="22"/>
      <c r="MFD47" s="22"/>
      <c r="MFE47" s="22"/>
      <c r="MFF47" s="22"/>
      <c r="MFG47" s="22"/>
      <c r="MFH47" s="22"/>
      <c r="MFI47" s="22"/>
      <c r="MFJ47" s="22"/>
      <c r="MFK47" s="22"/>
      <c r="MFL47" s="22"/>
      <c r="MFM47" s="22"/>
      <c r="MFN47" s="22"/>
      <c r="MFO47" s="22"/>
      <c r="MFP47" s="22"/>
      <c r="MFQ47" s="22"/>
      <c r="MFR47" s="22"/>
      <c r="MFS47" s="22"/>
      <c r="MFT47" s="22"/>
      <c r="MFU47" s="22"/>
      <c r="MFV47" s="22"/>
      <c r="MFW47" s="22"/>
      <c r="MFX47" s="22"/>
      <c r="MFY47" s="22"/>
      <c r="MFZ47" s="22"/>
      <c r="MGA47" s="22"/>
      <c r="MGB47" s="22"/>
      <c r="MGC47" s="22"/>
      <c r="MGD47" s="22"/>
      <c r="MGE47" s="22"/>
      <c r="MGF47" s="22"/>
      <c r="MGG47" s="22"/>
      <c r="MGH47" s="22"/>
      <c r="MGI47" s="22"/>
      <c r="MGJ47" s="22"/>
      <c r="MGK47" s="22"/>
      <c r="MGL47" s="22"/>
      <c r="MGM47" s="22"/>
      <c r="MGN47" s="22"/>
      <c r="MGO47" s="22"/>
      <c r="MGP47" s="22"/>
      <c r="MGQ47" s="22"/>
      <c r="MGR47" s="22"/>
      <c r="MGS47" s="22"/>
      <c r="MGT47" s="22"/>
      <c r="MGU47" s="22"/>
      <c r="MGV47" s="22"/>
      <c r="MGW47" s="22"/>
      <c r="MGX47" s="22"/>
      <c r="MGY47" s="22"/>
      <c r="MGZ47" s="22"/>
      <c r="MHA47" s="22"/>
      <c r="MHB47" s="22"/>
      <c r="MHC47" s="22"/>
      <c r="MHD47" s="22"/>
      <c r="MHE47" s="22"/>
      <c r="MHF47" s="22"/>
      <c r="MHG47" s="22"/>
      <c r="MHH47" s="22"/>
      <c r="MHI47" s="22"/>
      <c r="MHJ47" s="22"/>
      <c r="MHK47" s="22"/>
      <c r="MHL47" s="22"/>
      <c r="MHM47" s="22"/>
      <c r="MHN47" s="22"/>
      <c r="MHO47" s="22"/>
      <c r="MHP47" s="22"/>
      <c r="MHQ47" s="22"/>
      <c r="MHR47" s="22"/>
      <c r="MHS47" s="22"/>
      <c r="MHT47" s="22"/>
      <c r="MHU47" s="22"/>
      <c r="MHV47" s="22"/>
      <c r="MHW47" s="22"/>
      <c r="MHX47" s="22"/>
      <c r="MHY47" s="22"/>
      <c r="MHZ47" s="22"/>
      <c r="MIA47" s="22"/>
      <c r="MIB47" s="22"/>
      <c r="MIC47" s="22"/>
      <c r="MID47" s="22"/>
      <c r="MIE47" s="22"/>
      <c r="MIF47" s="22"/>
      <c r="MIG47" s="22"/>
      <c r="MIH47" s="22"/>
      <c r="MII47" s="22"/>
      <c r="MIJ47" s="22"/>
      <c r="MIK47" s="22"/>
      <c r="MIL47" s="22"/>
      <c r="MIM47" s="22"/>
      <c r="MIN47" s="22"/>
      <c r="MIO47" s="22"/>
      <c r="MIP47" s="22"/>
      <c r="MIQ47" s="22"/>
      <c r="MIR47" s="22"/>
      <c r="MIS47" s="22"/>
      <c r="MIT47" s="22"/>
      <c r="MIU47" s="22"/>
      <c r="MIV47" s="22"/>
      <c r="MIW47" s="22"/>
      <c r="MIX47" s="22"/>
      <c r="MIY47" s="22"/>
      <c r="MIZ47" s="22"/>
      <c r="MJA47" s="22"/>
      <c r="MJB47" s="22"/>
      <c r="MJC47" s="22"/>
      <c r="MJD47" s="22"/>
      <c r="MJE47" s="22"/>
      <c r="MJF47" s="22"/>
      <c r="MJG47" s="22"/>
      <c r="MJH47" s="22"/>
      <c r="MJI47" s="22"/>
      <c r="MJJ47" s="22"/>
      <c r="MJK47" s="22"/>
      <c r="MJL47" s="22"/>
      <c r="MJM47" s="22"/>
      <c r="MJN47" s="22"/>
      <c r="MJO47" s="22"/>
      <c r="MJP47" s="22"/>
      <c r="MJQ47" s="22"/>
      <c r="MJR47" s="22"/>
      <c r="MJS47" s="22"/>
      <c r="MJT47" s="22"/>
      <c r="MJU47" s="22"/>
      <c r="MJV47" s="22"/>
      <c r="MJW47" s="22"/>
      <c r="MJX47" s="22"/>
      <c r="MJY47" s="22"/>
      <c r="MJZ47" s="22"/>
      <c r="MKA47" s="22"/>
      <c r="MKB47" s="22"/>
      <c r="MKC47" s="22"/>
      <c r="MKD47" s="22"/>
      <c r="MKE47" s="22"/>
      <c r="MKF47" s="22"/>
      <c r="MKG47" s="22"/>
      <c r="MKH47" s="22"/>
      <c r="MKI47" s="22"/>
      <c r="MKJ47" s="22"/>
      <c r="MKK47" s="22"/>
      <c r="MKL47" s="22"/>
      <c r="MKM47" s="22"/>
      <c r="MKN47" s="22"/>
      <c r="MKO47" s="22"/>
      <c r="MKP47" s="22"/>
      <c r="MKQ47" s="22"/>
      <c r="MKR47" s="22"/>
      <c r="MKS47" s="22"/>
      <c r="MKT47" s="22"/>
      <c r="MKU47" s="22"/>
      <c r="MKV47" s="22"/>
      <c r="MKW47" s="22"/>
      <c r="MKX47" s="22"/>
      <c r="MKY47" s="22"/>
      <c r="MKZ47" s="22"/>
      <c r="MLA47" s="22"/>
      <c r="MLB47" s="22"/>
      <c r="MLC47" s="22"/>
      <c r="MLD47" s="22"/>
      <c r="MLE47" s="22"/>
      <c r="MLF47" s="22"/>
      <c r="MLG47" s="22"/>
      <c r="MLH47" s="22"/>
      <c r="MLI47" s="22"/>
      <c r="MLJ47" s="22"/>
      <c r="MLK47" s="22"/>
      <c r="MLL47" s="22"/>
      <c r="MLM47" s="22"/>
      <c r="MLN47" s="22"/>
      <c r="MLO47" s="22"/>
      <c r="MLP47" s="22"/>
      <c r="MLQ47" s="22"/>
      <c r="MLR47" s="22"/>
      <c r="MLS47" s="22"/>
      <c r="MLT47" s="22"/>
      <c r="MLU47" s="22"/>
      <c r="MLV47" s="22"/>
      <c r="MLW47" s="22"/>
      <c r="MLX47" s="22"/>
      <c r="MLY47" s="22"/>
      <c r="MLZ47" s="22"/>
      <c r="MMA47" s="22"/>
      <c r="MMB47" s="22"/>
      <c r="MMC47" s="22"/>
      <c r="MMD47" s="22"/>
      <c r="MME47" s="22"/>
      <c r="MMF47" s="22"/>
      <c r="MMG47" s="22"/>
      <c r="MMH47" s="22"/>
      <c r="MMI47" s="22"/>
      <c r="MMJ47" s="22"/>
      <c r="MMK47" s="22"/>
      <c r="MML47" s="22"/>
      <c r="MMM47" s="22"/>
      <c r="MMN47" s="22"/>
      <c r="MMO47" s="22"/>
      <c r="MMP47" s="22"/>
      <c r="MMQ47" s="22"/>
      <c r="MMR47" s="22"/>
      <c r="MMS47" s="22"/>
      <c r="MMT47" s="22"/>
      <c r="MMU47" s="22"/>
      <c r="MMV47" s="22"/>
      <c r="MMW47" s="22"/>
      <c r="MMX47" s="22"/>
      <c r="MMY47" s="22"/>
      <c r="MMZ47" s="22"/>
      <c r="MNA47" s="22"/>
      <c r="MNB47" s="22"/>
      <c r="MNC47" s="22"/>
      <c r="MND47" s="22"/>
      <c r="MNE47" s="22"/>
      <c r="MNF47" s="22"/>
      <c r="MNG47" s="22"/>
      <c r="MNH47" s="22"/>
      <c r="MNI47" s="22"/>
      <c r="MNJ47" s="22"/>
      <c r="MNK47" s="22"/>
      <c r="MNL47" s="22"/>
      <c r="MNM47" s="22"/>
      <c r="MNN47" s="22"/>
      <c r="MNO47" s="22"/>
      <c r="MNP47" s="22"/>
      <c r="MNQ47" s="22"/>
      <c r="MNR47" s="22"/>
      <c r="MNS47" s="22"/>
      <c r="MNT47" s="22"/>
      <c r="MNU47" s="22"/>
      <c r="MNV47" s="22"/>
      <c r="MNW47" s="22"/>
      <c r="MNX47" s="22"/>
      <c r="MNY47" s="22"/>
      <c r="MNZ47" s="22"/>
      <c r="MOA47" s="22"/>
      <c r="MOB47" s="22"/>
      <c r="MOC47" s="22"/>
      <c r="MOD47" s="22"/>
      <c r="MOE47" s="22"/>
      <c r="MOF47" s="22"/>
      <c r="MOG47" s="22"/>
      <c r="MOH47" s="22"/>
      <c r="MOI47" s="22"/>
      <c r="MOJ47" s="22"/>
      <c r="MOK47" s="22"/>
      <c r="MOL47" s="22"/>
      <c r="MOM47" s="22"/>
      <c r="MON47" s="22"/>
      <c r="MOO47" s="22"/>
      <c r="MOP47" s="22"/>
      <c r="MOQ47" s="22"/>
      <c r="MOR47" s="22"/>
      <c r="MOS47" s="22"/>
      <c r="MOT47" s="22"/>
      <c r="MOU47" s="22"/>
      <c r="MOV47" s="22"/>
      <c r="MOW47" s="22"/>
      <c r="MOX47" s="22"/>
      <c r="MOY47" s="22"/>
      <c r="MOZ47" s="22"/>
      <c r="MPA47" s="22"/>
      <c r="MPB47" s="22"/>
      <c r="MPC47" s="22"/>
      <c r="MPD47" s="22"/>
      <c r="MPE47" s="22"/>
      <c r="MPF47" s="22"/>
      <c r="MPG47" s="22"/>
      <c r="MPH47" s="22"/>
      <c r="MPI47" s="22"/>
      <c r="MPJ47" s="22"/>
      <c r="MPK47" s="22"/>
      <c r="MPL47" s="22"/>
      <c r="MPM47" s="22"/>
      <c r="MPN47" s="22"/>
      <c r="MPO47" s="22"/>
      <c r="MPP47" s="22"/>
      <c r="MPQ47" s="22"/>
      <c r="MPR47" s="22"/>
      <c r="MPS47" s="22"/>
      <c r="MPT47" s="22"/>
      <c r="MPU47" s="22"/>
      <c r="MPV47" s="22"/>
      <c r="MPW47" s="22"/>
      <c r="MPX47" s="22"/>
      <c r="MPY47" s="22"/>
      <c r="MPZ47" s="22"/>
      <c r="MQA47" s="22"/>
      <c r="MQB47" s="22"/>
      <c r="MQC47" s="22"/>
      <c r="MQD47" s="22"/>
      <c r="MQE47" s="22"/>
      <c r="MQF47" s="22"/>
      <c r="MQG47" s="22"/>
      <c r="MQH47" s="22"/>
      <c r="MQI47" s="22"/>
      <c r="MQJ47" s="22"/>
      <c r="MQK47" s="22"/>
      <c r="MQL47" s="22"/>
      <c r="MQM47" s="22"/>
      <c r="MQN47" s="22"/>
      <c r="MQO47" s="22"/>
      <c r="MQP47" s="22"/>
      <c r="MQQ47" s="22"/>
      <c r="MQR47" s="22"/>
      <c r="MQS47" s="22"/>
      <c r="MQT47" s="22"/>
      <c r="MQU47" s="22"/>
      <c r="MQV47" s="22"/>
      <c r="MQW47" s="22"/>
      <c r="MQX47" s="22"/>
      <c r="MQY47" s="22"/>
      <c r="MQZ47" s="22"/>
      <c r="MRA47" s="22"/>
      <c r="MRB47" s="22"/>
      <c r="MRC47" s="22"/>
      <c r="MRD47" s="22"/>
      <c r="MRE47" s="22"/>
      <c r="MRF47" s="22"/>
      <c r="MRG47" s="22"/>
      <c r="MRH47" s="22"/>
      <c r="MRI47" s="22"/>
      <c r="MRJ47" s="22"/>
      <c r="MRK47" s="22"/>
      <c r="MRL47" s="22"/>
      <c r="MRM47" s="22"/>
      <c r="MRN47" s="22"/>
      <c r="MRO47" s="22"/>
      <c r="MRP47" s="22"/>
      <c r="MRQ47" s="22"/>
      <c r="MRR47" s="22"/>
      <c r="MRS47" s="22"/>
      <c r="MRT47" s="22"/>
      <c r="MRU47" s="22"/>
      <c r="MRV47" s="22"/>
      <c r="MRW47" s="22"/>
      <c r="MRX47" s="22"/>
      <c r="MRY47" s="22"/>
      <c r="MRZ47" s="22"/>
      <c r="MSA47" s="22"/>
      <c r="MSB47" s="22"/>
      <c r="MSC47" s="22"/>
      <c r="MSD47" s="22"/>
      <c r="MSE47" s="22"/>
      <c r="MSF47" s="22"/>
      <c r="MSG47" s="22"/>
      <c r="MSH47" s="22"/>
      <c r="MSI47" s="22"/>
      <c r="MSJ47" s="22"/>
      <c r="MSK47" s="22"/>
      <c r="MSL47" s="22"/>
      <c r="MSM47" s="22"/>
      <c r="MSN47" s="22"/>
      <c r="MSO47" s="22"/>
      <c r="MSP47" s="22"/>
      <c r="MSQ47" s="22"/>
      <c r="MSR47" s="22"/>
      <c r="MSS47" s="22"/>
      <c r="MST47" s="22"/>
      <c r="MSU47" s="22"/>
      <c r="MSV47" s="22"/>
      <c r="MSW47" s="22"/>
      <c r="MSX47" s="22"/>
      <c r="MSY47" s="22"/>
      <c r="MSZ47" s="22"/>
      <c r="MTA47" s="22"/>
      <c r="MTB47" s="22"/>
      <c r="MTC47" s="22"/>
      <c r="MTD47" s="22"/>
      <c r="MTE47" s="22"/>
      <c r="MTF47" s="22"/>
      <c r="MTG47" s="22"/>
      <c r="MTH47" s="22"/>
      <c r="MTI47" s="22"/>
      <c r="MTJ47" s="22"/>
      <c r="MTK47" s="22"/>
      <c r="MTL47" s="22"/>
      <c r="MTM47" s="22"/>
      <c r="MTN47" s="22"/>
      <c r="MTO47" s="22"/>
      <c r="MTP47" s="22"/>
      <c r="MTQ47" s="22"/>
      <c r="MTR47" s="22"/>
      <c r="MTS47" s="22"/>
      <c r="MTT47" s="22"/>
      <c r="MTU47" s="22"/>
      <c r="MTV47" s="22"/>
      <c r="MTW47" s="22"/>
      <c r="MTX47" s="22"/>
      <c r="MTY47" s="22"/>
      <c r="MTZ47" s="22"/>
      <c r="MUA47" s="22"/>
      <c r="MUB47" s="22"/>
      <c r="MUC47" s="22"/>
      <c r="MUD47" s="22"/>
      <c r="MUE47" s="22"/>
      <c r="MUF47" s="22"/>
      <c r="MUG47" s="22"/>
      <c r="MUH47" s="22"/>
      <c r="MUI47" s="22"/>
      <c r="MUJ47" s="22"/>
      <c r="MUK47" s="22"/>
      <c r="MUL47" s="22"/>
      <c r="MUM47" s="22"/>
      <c r="MUN47" s="22"/>
      <c r="MUO47" s="22"/>
      <c r="MUP47" s="22"/>
      <c r="MUQ47" s="22"/>
      <c r="MUR47" s="22"/>
      <c r="MUS47" s="22"/>
      <c r="MUT47" s="22"/>
      <c r="MUU47" s="22"/>
      <c r="MUV47" s="22"/>
      <c r="MUW47" s="22"/>
      <c r="MUX47" s="22"/>
      <c r="MUY47" s="22"/>
      <c r="MUZ47" s="22"/>
      <c r="MVA47" s="22"/>
      <c r="MVB47" s="22"/>
      <c r="MVC47" s="22"/>
      <c r="MVD47" s="22"/>
      <c r="MVE47" s="22"/>
      <c r="MVF47" s="22"/>
      <c r="MVG47" s="22"/>
      <c r="MVH47" s="22"/>
      <c r="MVI47" s="22"/>
      <c r="MVJ47" s="22"/>
      <c r="MVK47" s="22"/>
      <c r="MVL47" s="22"/>
      <c r="MVM47" s="22"/>
      <c r="MVN47" s="22"/>
      <c r="MVO47" s="22"/>
      <c r="MVP47" s="22"/>
      <c r="MVQ47" s="22"/>
      <c r="MVR47" s="22"/>
      <c r="MVS47" s="22"/>
      <c r="MVT47" s="22"/>
      <c r="MVU47" s="22"/>
      <c r="MVV47" s="22"/>
      <c r="MVW47" s="22"/>
      <c r="MVX47" s="22"/>
      <c r="MVY47" s="22"/>
      <c r="MVZ47" s="22"/>
      <c r="MWA47" s="22"/>
      <c r="MWB47" s="22"/>
      <c r="MWC47" s="22"/>
      <c r="MWD47" s="22"/>
      <c r="MWE47" s="22"/>
      <c r="MWF47" s="22"/>
      <c r="MWG47" s="22"/>
      <c r="MWH47" s="22"/>
      <c r="MWI47" s="22"/>
      <c r="MWJ47" s="22"/>
      <c r="MWK47" s="22"/>
      <c r="MWL47" s="22"/>
      <c r="MWM47" s="22"/>
      <c r="MWN47" s="22"/>
      <c r="MWO47" s="22"/>
      <c r="MWP47" s="22"/>
      <c r="MWQ47" s="22"/>
      <c r="MWR47" s="22"/>
      <c r="MWS47" s="22"/>
      <c r="MWT47" s="22"/>
      <c r="MWU47" s="22"/>
      <c r="MWV47" s="22"/>
      <c r="MWW47" s="22"/>
      <c r="MWX47" s="22"/>
      <c r="MWY47" s="22"/>
      <c r="MWZ47" s="22"/>
      <c r="MXA47" s="22"/>
      <c r="MXB47" s="22"/>
      <c r="MXC47" s="22"/>
      <c r="MXD47" s="22"/>
      <c r="MXE47" s="22"/>
      <c r="MXF47" s="22"/>
      <c r="MXG47" s="22"/>
      <c r="MXH47" s="22"/>
      <c r="MXI47" s="22"/>
      <c r="MXJ47" s="22"/>
      <c r="MXK47" s="22"/>
      <c r="MXL47" s="22"/>
      <c r="MXM47" s="22"/>
      <c r="MXN47" s="22"/>
      <c r="MXO47" s="22"/>
      <c r="MXP47" s="22"/>
      <c r="MXQ47" s="22"/>
      <c r="MXR47" s="22"/>
      <c r="MXS47" s="22"/>
      <c r="MXT47" s="22"/>
      <c r="MXU47" s="22"/>
      <c r="MXV47" s="22"/>
      <c r="MXW47" s="22"/>
      <c r="MXX47" s="22"/>
      <c r="MXY47" s="22"/>
      <c r="MXZ47" s="22"/>
      <c r="MYA47" s="22"/>
      <c r="MYB47" s="22"/>
      <c r="MYC47" s="22"/>
      <c r="MYD47" s="22"/>
      <c r="MYE47" s="22"/>
      <c r="MYF47" s="22"/>
      <c r="MYG47" s="22"/>
      <c r="MYH47" s="22"/>
      <c r="MYI47" s="22"/>
      <c r="MYJ47" s="22"/>
      <c r="MYK47" s="22"/>
      <c r="MYL47" s="22"/>
      <c r="MYM47" s="22"/>
      <c r="MYN47" s="22"/>
      <c r="MYO47" s="22"/>
      <c r="MYP47" s="22"/>
      <c r="MYQ47" s="22"/>
      <c r="MYR47" s="22"/>
      <c r="MYS47" s="22"/>
      <c r="MYT47" s="22"/>
      <c r="MYU47" s="22"/>
      <c r="MYV47" s="22"/>
      <c r="MYW47" s="22"/>
      <c r="MYX47" s="22"/>
      <c r="MYY47" s="22"/>
      <c r="MYZ47" s="22"/>
      <c r="MZA47" s="22"/>
      <c r="MZB47" s="22"/>
      <c r="MZC47" s="22"/>
      <c r="MZD47" s="22"/>
      <c r="MZE47" s="22"/>
      <c r="MZF47" s="22"/>
      <c r="MZG47" s="22"/>
      <c r="MZH47" s="22"/>
      <c r="MZI47" s="22"/>
      <c r="MZJ47" s="22"/>
      <c r="MZK47" s="22"/>
      <c r="MZL47" s="22"/>
      <c r="MZM47" s="22"/>
      <c r="MZN47" s="22"/>
      <c r="MZO47" s="22"/>
      <c r="MZP47" s="22"/>
      <c r="MZQ47" s="22"/>
      <c r="MZR47" s="22"/>
      <c r="MZS47" s="22"/>
      <c r="MZT47" s="22"/>
      <c r="MZU47" s="22"/>
      <c r="MZV47" s="22"/>
      <c r="MZW47" s="22"/>
      <c r="MZX47" s="22"/>
      <c r="MZY47" s="22"/>
      <c r="MZZ47" s="22"/>
      <c r="NAA47" s="22"/>
      <c r="NAB47" s="22"/>
      <c r="NAC47" s="22"/>
      <c r="NAD47" s="22"/>
      <c r="NAE47" s="22"/>
      <c r="NAF47" s="22"/>
      <c r="NAG47" s="22"/>
      <c r="NAH47" s="22"/>
      <c r="NAI47" s="22"/>
      <c r="NAJ47" s="22"/>
      <c r="NAK47" s="22"/>
      <c r="NAL47" s="22"/>
      <c r="NAM47" s="22"/>
      <c r="NAN47" s="22"/>
      <c r="NAO47" s="22"/>
      <c r="NAP47" s="22"/>
      <c r="NAQ47" s="22"/>
      <c r="NAR47" s="22"/>
      <c r="NAS47" s="22"/>
      <c r="NAT47" s="22"/>
      <c r="NAU47" s="22"/>
      <c r="NAV47" s="22"/>
      <c r="NAW47" s="22"/>
      <c r="NAX47" s="22"/>
      <c r="NAY47" s="22"/>
      <c r="NAZ47" s="22"/>
      <c r="NBA47" s="22"/>
      <c r="NBB47" s="22"/>
      <c r="NBC47" s="22"/>
      <c r="NBD47" s="22"/>
      <c r="NBE47" s="22"/>
      <c r="NBF47" s="22"/>
      <c r="NBG47" s="22"/>
      <c r="NBH47" s="22"/>
      <c r="NBI47" s="22"/>
      <c r="NBJ47" s="22"/>
      <c r="NBK47" s="22"/>
      <c r="NBL47" s="22"/>
      <c r="NBM47" s="22"/>
      <c r="NBN47" s="22"/>
      <c r="NBO47" s="22"/>
      <c r="NBP47" s="22"/>
      <c r="NBQ47" s="22"/>
      <c r="NBR47" s="22"/>
      <c r="NBS47" s="22"/>
      <c r="NBT47" s="22"/>
      <c r="NBU47" s="22"/>
      <c r="NBV47" s="22"/>
      <c r="NBW47" s="22"/>
      <c r="NBX47" s="22"/>
      <c r="NBY47" s="22"/>
      <c r="NBZ47" s="22"/>
      <c r="NCA47" s="22"/>
      <c r="NCB47" s="22"/>
      <c r="NCC47" s="22"/>
      <c r="NCD47" s="22"/>
      <c r="NCE47" s="22"/>
      <c r="NCF47" s="22"/>
      <c r="NCG47" s="22"/>
      <c r="NCH47" s="22"/>
      <c r="NCI47" s="22"/>
      <c r="NCJ47" s="22"/>
      <c r="NCK47" s="22"/>
      <c r="NCL47" s="22"/>
      <c r="NCM47" s="22"/>
      <c r="NCN47" s="22"/>
      <c r="NCO47" s="22"/>
      <c r="NCP47" s="22"/>
      <c r="NCQ47" s="22"/>
      <c r="NCR47" s="22"/>
      <c r="NCS47" s="22"/>
      <c r="NCT47" s="22"/>
      <c r="NCU47" s="22"/>
      <c r="NCV47" s="22"/>
      <c r="NCW47" s="22"/>
      <c r="NCX47" s="22"/>
      <c r="NCY47" s="22"/>
      <c r="NCZ47" s="22"/>
      <c r="NDA47" s="22"/>
      <c r="NDB47" s="22"/>
      <c r="NDC47" s="22"/>
      <c r="NDD47" s="22"/>
      <c r="NDE47" s="22"/>
      <c r="NDF47" s="22"/>
      <c r="NDG47" s="22"/>
      <c r="NDH47" s="22"/>
      <c r="NDI47" s="22"/>
      <c r="NDJ47" s="22"/>
      <c r="NDK47" s="22"/>
      <c r="NDL47" s="22"/>
      <c r="NDM47" s="22"/>
      <c r="NDN47" s="22"/>
      <c r="NDO47" s="22"/>
      <c r="NDP47" s="22"/>
      <c r="NDQ47" s="22"/>
      <c r="NDR47" s="22"/>
      <c r="NDS47" s="22"/>
      <c r="NDT47" s="22"/>
      <c r="NDU47" s="22"/>
      <c r="NDV47" s="22"/>
      <c r="NDW47" s="22"/>
      <c r="NDX47" s="22"/>
      <c r="NDY47" s="22"/>
      <c r="NDZ47" s="22"/>
      <c r="NEA47" s="22"/>
      <c r="NEB47" s="22"/>
      <c r="NEC47" s="22"/>
      <c r="NED47" s="22"/>
      <c r="NEE47" s="22"/>
      <c r="NEF47" s="22"/>
      <c r="NEG47" s="22"/>
      <c r="NEH47" s="22"/>
      <c r="NEI47" s="22"/>
      <c r="NEJ47" s="22"/>
      <c r="NEK47" s="22"/>
      <c r="NEL47" s="22"/>
      <c r="NEM47" s="22"/>
      <c r="NEN47" s="22"/>
      <c r="NEO47" s="22"/>
      <c r="NEP47" s="22"/>
      <c r="NEQ47" s="22"/>
      <c r="NER47" s="22"/>
      <c r="NES47" s="22"/>
      <c r="NET47" s="22"/>
      <c r="NEU47" s="22"/>
      <c r="NEV47" s="22"/>
      <c r="NEW47" s="22"/>
      <c r="NEX47" s="22"/>
      <c r="NEY47" s="22"/>
      <c r="NEZ47" s="22"/>
      <c r="NFA47" s="22"/>
      <c r="NFB47" s="22"/>
      <c r="NFC47" s="22"/>
      <c r="NFD47" s="22"/>
      <c r="NFE47" s="22"/>
      <c r="NFF47" s="22"/>
      <c r="NFG47" s="22"/>
      <c r="NFH47" s="22"/>
      <c r="NFI47" s="22"/>
      <c r="NFJ47" s="22"/>
      <c r="NFK47" s="22"/>
      <c r="NFL47" s="22"/>
      <c r="NFM47" s="22"/>
      <c r="NFN47" s="22"/>
      <c r="NFO47" s="22"/>
      <c r="NFP47" s="22"/>
      <c r="NFQ47" s="22"/>
      <c r="NFR47" s="22"/>
      <c r="NFS47" s="22"/>
      <c r="NFT47" s="22"/>
      <c r="NFU47" s="22"/>
      <c r="NFV47" s="22"/>
      <c r="NFW47" s="22"/>
      <c r="NFX47" s="22"/>
      <c r="NFY47" s="22"/>
      <c r="NFZ47" s="22"/>
      <c r="NGA47" s="22"/>
      <c r="NGB47" s="22"/>
      <c r="NGC47" s="22"/>
      <c r="NGD47" s="22"/>
      <c r="NGE47" s="22"/>
      <c r="NGF47" s="22"/>
      <c r="NGG47" s="22"/>
      <c r="NGH47" s="22"/>
      <c r="NGI47" s="22"/>
      <c r="NGJ47" s="22"/>
      <c r="NGK47" s="22"/>
      <c r="NGL47" s="22"/>
      <c r="NGM47" s="22"/>
      <c r="NGN47" s="22"/>
      <c r="NGO47" s="22"/>
      <c r="NGP47" s="22"/>
      <c r="NGQ47" s="22"/>
      <c r="NGR47" s="22"/>
      <c r="NGS47" s="22"/>
      <c r="NGT47" s="22"/>
      <c r="NGU47" s="22"/>
      <c r="NGV47" s="22"/>
      <c r="NGW47" s="22"/>
      <c r="NGX47" s="22"/>
      <c r="NGY47" s="22"/>
      <c r="NGZ47" s="22"/>
      <c r="NHA47" s="22"/>
      <c r="NHB47" s="22"/>
      <c r="NHC47" s="22"/>
      <c r="NHD47" s="22"/>
      <c r="NHE47" s="22"/>
      <c r="NHF47" s="22"/>
      <c r="NHG47" s="22"/>
      <c r="NHH47" s="22"/>
      <c r="NHI47" s="22"/>
      <c r="NHJ47" s="22"/>
      <c r="NHK47" s="22"/>
      <c r="NHL47" s="22"/>
      <c r="NHM47" s="22"/>
      <c r="NHN47" s="22"/>
      <c r="NHO47" s="22"/>
      <c r="NHP47" s="22"/>
      <c r="NHQ47" s="22"/>
      <c r="NHR47" s="22"/>
      <c r="NHS47" s="22"/>
      <c r="NHT47" s="22"/>
      <c r="NHU47" s="22"/>
      <c r="NHV47" s="22"/>
      <c r="NHW47" s="22"/>
      <c r="NHX47" s="22"/>
      <c r="NHY47" s="22"/>
      <c r="NHZ47" s="22"/>
      <c r="NIA47" s="22"/>
      <c r="NIB47" s="22"/>
      <c r="NIC47" s="22"/>
      <c r="NID47" s="22"/>
      <c r="NIE47" s="22"/>
      <c r="NIF47" s="22"/>
      <c r="NIG47" s="22"/>
      <c r="NIH47" s="22"/>
      <c r="NII47" s="22"/>
      <c r="NIJ47" s="22"/>
      <c r="NIK47" s="22"/>
      <c r="NIL47" s="22"/>
      <c r="NIM47" s="22"/>
      <c r="NIN47" s="22"/>
      <c r="NIO47" s="22"/>
      <c r="NIP47" s="22"/>
      <c r="NIQ47" s="22"/>
      <c r="NIR47" s="22"/>
      <c r="NIS47" s="22"/>
      <c r="NIT47" s="22"/>
      <c r="NIU47" s="22"/>
      <c r="NIV47" s="22"/>
      <c r="NIW47" s="22"/>
      <c r="NIX47" s="22"/>
      <c r="NIY47" s="22"/>
      <c r="NIZ47" s="22"/>
      <c r="NJA47" s="22"/>
      <c r="NJB47" s="22"/>
      <c r="NJC47" s="22"/>
      <c r="NJD47" s="22"/>
      <c r="NJE47" s="22"/>
      <c r="NJF47" s="22"/>
      <c r="NJG47" s="22"/>
      <c r="NJH47" s="22"/>
      <c r="NJI47" s="22"/>
      <c r="NJJ47" s="22"/>
      <c r="NJK47" s="22"/>
      <c r="NJL47" s="22"/>
      <c r="NJM47" s="22"/>
      <c r="NJN47" s="22"/>
      <c r="NJO47" s="22"/>
      <c r="NJP47" s="22"/>
      <c r="NJQ47" s="22"/>
      <c r="NJR47" s="22"/>
      <c r="NJS47" s="22"/>
      <c r="NJT47" s="22"/>
      <c r="NJU47" s="22"/>
      <c r="NJV47" s="22"/>
      <c r="NJW47" s="22"/>
      <c r="NJX47" s="22"/>
      <c r="NJY47" s="22"/>
      <c r="NJZ47" s="22"/>
      <c r="NKA47" s="22"/>
      <c r="NKB47" s="22"/>
      <c r="NKC47" s="22"/>
      <c r="NKD47" s="22"/>
      <c r="NKE47" s="22"/>
      <c r="NKF47" s="22"/>
      <c r="NKG47" s="22"/>
      <c r="NKH47" s="22"/>
      <c r="NKI47" s="22"/>
      <c r="NKJ47" s="22"/>
      <c r="NKK47" s="22"/>
      <c r="NKL47" s="22"/>
      <c r="NKM47" s="22"/>
      <c r="NKN47" s="22"/>
      <c r="NKO47" s="22"/>
      <c r="NKP47" s="22"/>
      <c r="NKQ47" s="22"/>
      <c r="NKR47" s="22"/>
      <c r="NKS47" s="22"/>
      <c r="NKT47" s="22"/>
      <c r="NKU47" s="22"/>
      <c r="NKV47" s="22"/>
      <c r="NKW47" s="22"/>
      <c r="NKX47" s="22"/>
      <c r="NKY47" s="22"/>
      <c r="NKZ47" s="22"/>
      <c r="NLA47" s="22"/>
      <c r="NLB47" s="22"/>
      <c r="NLC47" s="22"/>
      <c r="NLD47" s="22"/>
      <c r="NLE47" s="22"/>
      <c r="NLF47" s="22"/>
      <c r="NLG47" s="22"/>
      <c r="NLH47" s="22"/>
      <c r="NLI47" s="22"/>
      <c r="NLJ47" s="22"/>
      <c r="NLK47" s="22"/>
      <c r="NLL47" s="22"/>
      <c r="NLM47" s="22"/>
      <c r="NLN47" s="22"/>
      <c r="NLO47" s="22"/>
      <c r="NLP47" s="22"/>
      <c r="NLQ47" s="22"/>
      <c r="NLR47" s="22"/>
      <c r="NLS47" s="22"/>
      <c r="NLT47" s="22"/>
      <c r="NLU47" s="22"/>
      <c r="NLV47" s="22"/>
      <c r="NLW47" s="22"/>
      <c r="NLX47" s="22"/>
      <c r="NLY47" s="22"/>
      <c r="NLZ47" s="22"/>
      <c r="NMA47" s="22"/>
      <c r="NMB47" s="22"/>
      <c r="NMC47" s="22"/>
      <c r="NMD47" s="22"/>
      <c r="NME47" s="22"/>
      <c r="NMF47" s="22"/>
      <c r="NMG47" s="22"/>
      <c r="NMH47" s="22"/>
      <c r="NMI47" s="22"/>
      <c r="NMJ47" s="22"/>
      <c r="NMK47" s="22"/>
      <c r="NML47" s="22"/>
      <c r="NMM47" s="22"/>
      <c r="NMN47" s="22"/>
      <c r="NMO47" s="22"/>
      <c r="NMP47" s="22"/>
      <c r="NMQ47" s="22"/>
      <c r="NMR47" s="22"/>
      <c r="NMS47" s="22"/>
      <c r="NMT47" s="22"/>
      <c r="NMU47" s="22"/>
      <c r="NMV47" s="22"/>
      <c r="NMW47" s="22"/>
      <c r="NMX47" s="22"/>
      <c r="NMY47" s="22"/>
      <c r="NMZ47" s="22"/>
      <c r="NNA47" s="22"/>
      <c r="NNB47" s="22"/>
      <c r="NNC47" s="22"/>
      <c r="NND47" s="22"/>
      <c r="NNE47" s="22"/>
      <c r="NNF47" s="22"/>
      <c r="NNG47" s="22"/>
      <c r="NNH47" s="22"/>
      <c r="NNI47" s="22"/>
      <c r="NNJ47" s="22"/>
      <c r="NNK47" s="22"/>
      <c r="NNL47" s="22"/>
      <c r="NNM47" s="22"/>
      <c r="NNN47" s="22"/>
      <c r="NNO47" s="22"/>
      <c r="NNP47" s="22"/>
      <c r="NNQ47" s="22"/>
      <c r="NNR47" s="22"/>
      <c r="NNS47" s="22"/>
      <c r="NNT47" s="22"/>
      <c r="NNU47" s="22"/>
      <c r="NNV47" s="22"/>
      <c r="NNW47" s="22"/>
      <c r="NNX47" s="22"/>
      <c r="NNY47" s="22"/>
      <c r="NNZ47" s="22"/>
      <c r="NOA47" s="22"/>
      <c r="NOB47" s="22"/>
      <c r="NOC47" s="22"/>
      <c r="NOD47" s="22"/>
      <c r="NOE47" s="22"/>
      <c r="NOF47" s="22"/>
      <c r="NOG47" s="22"/>
      <c r="NOH47" s="22"/>
      <c r="NOI47" s="22"/>
      <c r="NOJ47" s="22"/>
      <c r="NOK47" s="22"/>
      <c r="NOL47" s="22"/>
      <c r="NOM47" s="22"/>
      <c r="NON47" s="22"/>
      <c r="NOO47" s="22"/>
      <c r="NOP47" s="22"/>
      <c r="NOQ47" s="22"/>
      <c r="NOR47" s="22"/>
      <c r="NOS47" s="22"/>
      <c r="NOT47" s="22"/>
      <c r="NOU47" s="22"/>
      <c r="NOV47" s="22"/>
      <c r="NOW47" s="22"/>
      <c r="NOX47" s="22"/>
      <c r="NOY47" s="22"/>
      <c r="NOZ47" s="22"/>
      <c r="NPA47" s="22"/>
      <c r="NPB47" s="22"/>
      <c r="NPC47" s="22"/>
      <c r="NPD47" s="22"/>
      <c r="NPE47" s="22"/>
      <c r="NPF47" s="22"/>
      <c r="NPG47" s="22"/>
      <c r="NPH47" s="22"/>
      <c r="NPI47" s="22"/>
      <c r="NPJ47" s="22"/>
      <c r="NPK47" s="22"/>
      <c r="NPL47" s="22"/>
      <c r="NPM47" s="22"/>
      <c r="NPN47" s="22"/>
      <c r="NPO47" s="22"/>
      <c r="NPP47" s="22"/>
      <c r="NPQ47" s="22"/>
      <c r="NPR47" s="22"/>
      <c r="NPS47" s="22"/>
      <c r="NPT47" s="22"/>
      <c r="NPU47" s="22"/>
      <c r="NPV47" s="22"/>
      <c r="NPW47" s="22"/>
      <c r="NPX47" s="22"/>
      <c r="NPY47" s="22"/>
      <c r="NPZ47" s="22"/>
      <c r="NQA47" s="22"/>
      <c r="NQB47" s="22"/>
      <c r="NQC47" s="22"/>
      <c r="NQD47" s="22"/>
      <c r="NQE47" s="22"/>
      <c r="NQF47" s="22"/>
      <c r="NQG47" s="22"/>
      <c r="NQH47" s="22"/>
      <c r="NQI47" s="22"/>
      <c r="NQJ47" s="22"/>
      <c r="NQK47" s="22"/>
      <c r="NQL47" s="22"/>
      <c r="NQM47" s="22"/>
      <c r="NQN47" s="22"/>
      <c r="NQO47" s="22"/>
      <c r="NQP47" s="22"/>
      <c r="NQQ47" s="22"/>
      <c r="NQR47" s="22"/>
      <c r="NQS47" s="22"/>
      <c r="NQT47" s="22"/>
      <c r="NQU47" s="22"/>
      <c r="NQV47" s="22"/>
      <c r="NQW47" s="22"/>
      <c r="NQX47" s="22"/>
      <c r="NQY47" s="22"/>
      <c r="NQZ47" s="22"/>
      <c r="NRA47" s="22"/>
      <c r="NRB47" s="22"/>
      <c r="NRC47" s="22"/>
      <c r="NRD47" s="22"/>
      <c r="NRE47" s="22"/>
      <c r="NRF47" s="22"/>
      <c r="NRG47" s="22"/>
      <c r="NRH47" s="22"/>
      <c r="NRI47" s="22"/>
      <c r="NRJ47" s="22"/>
      <c r="NRK47" s="22"/>
      <c r="NRL47" s="22"/>
      <c r="NRM47" s="22"/>
      <c r="NRN47" s="22"/>
      <c r="NRO47" s="22"/>
      <c r="NRP47" s="22"/>
      <c r="NRQ47" s="22"/>
      <c r="NRR47" s="22"/>
      <c r="NRS47" s="22"/>
      <c r="NRT47" s="22"/>
      <c r="NRU47" s="22"/>
      <c r="NRV47" s="22"/>
      <c r="NRW47" s="22"/>
      <c r="NRX47" s="22"/>
      <c r="NRY47" s="22"/>
      <c r="NRZ47" s="22"/>
      <c r="NSA47" s="22"/>
      <c r="NSB47" s="22"/>
      <c r="NSC47" s="22"/>
      <c r="NSD47" s="22"/>
      <c r="NSE47" s="22"/>
      <c r="NSF47" s="22"/>
      <c r="NSG47" s="22"/>
      <c r="NSH47" s="22"/>
      <c r="NSI47" s="22"/>
      <c r="NSJ47" s="22"/>
      <c r="NSK47" s="22"/>
      <c r="NSL47" s="22"/>
      <c r="NSM47" s="22"/>
      <c r="NSN47" s="22"/>
      <c r="NSO47" s="22"/>
      <c r="NSP47" s="22"/>
      <c r="NSQ47" s="22"/>
      <c r="NSR47" s="22"/>
      <c r="NSS47" s="22"/>
      <c r="NST47" s="22"/>
      <c r="NSU47" s="22"/>
      <c r="NSV47" s="22"/>
      <c r="NSW47" s="22"/>
      <c r="NSX47" s="22"/>
      <c r="NSY47" s="22"/>
      <c r="NSZ47" s="22"/>
      <c r="NTA47" s="22"/>
      <c r="NTB47" s="22"/>
      <c r="NTC47" s="22"/>
      <c r="NTD47" s="22"/>
      <c r="NTE47" s="22"/>
      <c r="NTF47" s="22"/>
      <c r="NTG47" s="22"/>
      <c r="NTH47" s="22"/>
      <c r="NTI47" s="22"/>
      <c r="NTJ47" s="22"/>
      <c r="NTK47" s="22"/>
      <c r="NTL47" s="22"/>
      <c r="NTM47" s="22"/>
      <c r="NTN47" s="22"/>
      <c r="NTO47" s="22"/>
      <c r="NTP47" s="22"/>
      <c r="NTQ47" s="22"/>
      <c r="NTR47" s="22"/>
      <c r="NTS47" s="22"/>
      <c r="NTT47" s="22"/>
      <c r="NTU47" s="22"/>
      <c r="NTV47" s="22"/>
      <c r="NTW47" s="22"/>
      <c r="NTX47" s="22"/>
      <c r="NTY47" s="22"/>
      <c r="NTZ47" s="22"/>
      <c r="NUA47" s="22"/>
      <c r="NUB47" s="22"/>
      <c r="NUC47" s="22"/>
      <c r="NUD47" s="22"/>
      <c r="NUE47" s="22"/>
      <c r="NUF47" s="22"/>
      <c r="NUG47" s="22"/>
      <c r="NUH47" s="22"/>
      <c r="NUI47" s="22"/>
      <c r="NUJ47" s="22"/>
      <c r="NUK47" s="22"/>
      <c r="NUL47" s="22"/>
      <c r="NUM47" s="22"/>
      <c r="NUN47" s="22"/>
      <c r="NUO47" s="22"/>
      <c r="NUP47" s="22"/>
      <c r="NUQ47" s="22"/>
      <c r="NUR47" s="22"/>
      <c r="NUS47" s="22"/>
      <c r="NUT47" s="22"/>
      <c r="NUU47" s="22"/>
      <c r="NUV47" s="22"/>
      <c r="NUW47" s="22"/>
      <c r="NUX47" s="22"/>
      <c r="NUY47" s="22"/>
      <c r="NUZ47" s="22"/>
      <c r="NVA47" s="22"/>
      <c r="NVB47" s="22"/>
      <c r="NVC47" s="22"/>
      <c r="NVD47" s="22"/>
      <c r="NVE47" s="22"/>
      <c r="NVF47" s="22"/>
      <c r="NVG47" s="22"/>
      <c r="NVH47" s="22"/>
      <c r="NVI47" s="22"/>
      <c r="NVJ47" s="22"/>
      <c r="NVK47" s="22"/>
      <c r="NVL47" s="22"/>
      <c r="NVM47" s="22"/>
      <c r="NVN47" s="22"/>
      <c r="NVO47" s="22"/>
      <c r="NVP47" s="22"/>
      <c r="NVQ47" s="22"/>
      <c r="NVR47" s="22"/>
      <c r="NVS47" s="22"/>
      <c r="NVT47" s="22"/>
      <c r="NVU47" s="22"/>
      <c r="NVV47" s="22"/>
      <c r="NVW47" s="22"/>
      <c r="NVX47" s="22"/>
      <c r="NVY47" s="22"/>
      <c r="NVZ47" s="22"/>
      <c r="NWA47" s="22"/>
      <c r="NWB47" s="22"/>
      <c r="NWC47" s="22"/>
      <c r="NWD47" s="22"/>
      <c r="NWE47" s="22"/>
      <c r="NWF47" s="22"/>
      <c r="NWG47" s="22"/>
      <c r="NWH47" s="22"/>
      <c r="NWI47" s="22"/>
      <c r="NWJ47" s="22"/>
      <c r="NWK47" s="22"/>
      <c r="NWL47" s="22"/>
      <c r="NWM47" s="22"/>
      <c r="NWN47" s="22"/>
      <c r="NWO47" s="22"/>
      <c r="NWP47" s="22"/>
      <c r="NWQ47" s="22"/>
      <c r="NWR47" s="22"/>
      <c r="NWS47" s="22"/>
      <c r="NWT47" s="22"/>
      <c r="NWU47" s="22"/>
      <c r="NWV47" s="22"/>
      <c r="NWW47" s="22"/>
      <c r="NWX47" s="22"/>
      <c r="NWY47" s="22"/>
      <c r="NWZ47" s="22"/>
      <c r="NXA47" s="22"/>
      <c r="NXB47" s="22"/>
      <c r="NXC47" s="22"/>
      <c r="NXD47" s="22"/>
      <c r="NXE47" s="22"/>
      <c r="NXF47" s="22"/>
      <c r="NXG47" s="22"/>
      <c r="NXH47" s="22"/>
      <c r="NXI47" s="22"/>
      <c r="NXJ47" s="22"/>
      <c r="NXK47" s="22"/>
      <c r="NXL47" s="22"/>
      <c r="NXM47" s="22"/>
      <c r="NXN47" s="22"/>
      <c r="NXO47" s="22"/>
      <c r="NXP47" s="22"/>
      <c r="NXQ47" s="22"/>
      <c r="NXR47" s="22"/>
      <c r="NXS47" s="22"/>
      <c r="NXT47" s="22"/>
      <c r="NXU47" s="22"/>
      <c r="NXV47" s="22"/>
      <c r="NXW47" s="22"/>
      <c r="NXX47" s="22"/>
      <c r="NXY47" s="22"/>
      <c r="NXZ47" s="22"/>
      <c r="NYA47" s="22"/>
      <c r="NYB47" s="22"/>
      <c r="NYC47" s="22"/>
      <c r="NYD47" s="22"/>
      <c r="NYE47" s="22"/>
      <c r="NYF47" s="22"/>
      <c r="NYG47" s="22"/>
      <c r="NYH47" s="22"/>
      <c r="NYI47" s="22"/>
      <c r="NYJ47" s="22"/>
      <c r="NYK47" s="22"/>
      <c r="NYL47" s="22"/>
      <c r="NYM47" s="22"/>
      <c r="NYN47" s="22"/>
      <c r="NYO47" s="22"/>
      <c r="NYP47" s="22"/>
      <c r="NYQ47" s="22"/>
      <c r="NYR47" s="22"/>
      <c r="NYS47" s="22"/>
      <c r="NYT47" s="22"/>
      <c r="NYU47" s="22"/>
      <c r="NYV47" s="22"/>
      <c r="NYW47" s="22"/>
      <c r="NYX47" s="22"/>
      <c r="NYY47" s="22"/>
      <c r="NYZ47" s="22"/>
      <c r="NZA47" s="22"/>
      <c r="NZB47" s="22"/>
      <c r="NZC47" s="22"/>
      <c r="NZD47" s="22"/>
      <c r="NZE47" s="22"/>
      <c r="NZF47" s="22"/>
      <c r="NZG47" s="22"/>
      <c r="NZH47" s="22"/>
      <c r="NZI47" s="22"/>
      <c r="NZJ47" s="22"/>
      <c r="NZK47" s="22"/>
      <c r="NZL47" s="22"/>
      <c r="NZM47" s="22"/>
      <c r="NZN47" s="22"/>
      <c r="NZO47" s="22"/>
      <c r="NZP47" s="22"/>
      <c r="NZQ47" s="22"/>
      <c r="NZR47" s="22"/>
      <c r="NZS47" s="22"/>
      <c r="NZT47" s="22"/>
      <c r="NZU47" s="22"/>
      <c r="NZV47" s="22"/>
      <c r="NZW47" s="22"/>
      <c r="NZX47" s="22"/>
      <c r="NZY47" s="22"/>
      <c r="NZZ47" s="22"/>
      <c r="OAA47" s="22"/>
      <c r="OAB47" s="22"/>
      <c r="OAC47" s="22"/>
      <c r="OAD47" s="22"/>
      <c r="OAE47" s="22"/>
      <c r="OAF47" s="22"/>
      <c r="OAG47" s="22"/>
      <c r="OAH47" s="22"/>
      <c r="OAI47" s="22"/>
      <c r="OAJ47" s="22"/>
      <c r="OAK47" s="22"/>
      <c r="OAL47" s="22"/>
      <c r="OAM47" s="22"/>
      <c r="OAN47" s="22"/>
      <c r="OAO47" s="22"/>
      <c r="OAP47" s="22"/>
      <c r="OAQ47" s="22"/>
      <c r="OAR47" s="22"/>
      <c r="OAS47" s="22"/>
      <c r="OAT47" s="22"/>
      <c r="OAU47" s="22"/>
      <c r="OAV47" s="22"/>
      <c r="OAW47" s="22"/>
      <c r="OAX47" s="22"/>
      <c r="OAY47" s="22"/>
      <c r="OAZ47" s="22"/>
      <c r="OBA47" s="22"/>
      <c r="OBB47" s="22"/>
      <c r="OBC47" s="22"/>
      <c r="OBD47" s="22"/>
      <c r="OBE47" s="22"/>
      <c r="OBF47" s="22"/>
      <c r="OBG47" s="22"/>
      <c r="OBH47" s="22"/>
      <c r="OBI47" s="22"/>
      <c r="OBJ47" s="22"/>
      <c r="OBK47" s="22"/>
      <c r="OBL47" s="22"/>
      <c r="OBM47" s="22"/>
      <c r="OBN47" s="22"/>
      <c r="OBO47" s="22"/>
      <c r="OBP47" s="22"/>
      <c r="OBQ47" s="22"/>
      <c r="OBR47" s="22"/>
      <c r="OBS47" s="22"/>
      <c r="OBT47" s="22"/>
      <c r="OBU47" s="22"/>
      <c r="OBV47" s="22"/>
      <c r="OBW47" s="22"/>
      <c r="OBX47" s="22"/>
      <c r="OBY47" s="22"/>
      <c r="OBZ47" s="22"/>
      <c r="OCA47" s="22"/>
      <c r="OCB47" s="22"/>
      <c r="OCC47" s="22"/>
      <c r="OCD47" s="22"/>
      <c r="OCE47" s="22"/>
      <c r="OCF47" s="22"/>
      <c r="OCG47" s="22"/>
      <c r="OCH47" s="22"/>
      <c r="OCI47" s="22"/>
      <c r="OCJ47" s="22"/>
      <c r="OCK47" s="22"/>
      <c r="OCL47" s="22"/>
      <c r="OCM47" s="22"/>
      <c r="OCN47" s="22"/>
      <c r="OCO47" s="22"/>
      <c r="OCP47" s="22"/>
      <c r="OCQ47" s="22"/>
      <c r="OCR47" s="22"/>
      <c r="OCS47" s="22"/>
      <c r="OCT47" s="22"/>
      <c r="OCU47" s="22"/>
      <c r="OCV47" s="22"/>
      <c r="OCW47" s="22"/>
      <c r="OCX47" s="22"/>
      <c r="OCY47" s="22"/>
      <c r="OCZ47" s="22"/>
      <c r="ODA47" s="22"/>
      <c r="ODB47" s="22"/>
      <c r="ODC47" s="22"/>
      <c r="ODD47" s="22"/>
      <c r="ODE47" s="22"/>
      <c r="ODF47" s="22"/>
      <c r="ODG47" s="22"/>
      <c r="ODH47" s="22"/>
      <c r="ODI47" s="22"/>
      <c r="ODJ47" s="22"/>
      <c r="ODK47" s="22"/>
      <c r="ODL47" s="22"/>
      <c r="ODM47" s="22"/>
      <c r="ODN47" s="22"/>
      <c r="ODO47" s="22"/>
      <c r="ODP47" s="22"/>
      <c r="ODQ47" s="22"/>
      <c r="ODR47" s="22"/>
      <c r="ODS47" s="22"/>
      <c r="ODT47" s="22"/>
      <c r="ODU47" s="22"/>
      <c r="ODV47" s="22"/>
      <c r="ODW47" s="22"/>
      <c r="ODX47" s="22"/>
      <c r="ODY47" s="22"/>
      <c r="ODZ47" s="22"/>
      <c r="OEA47" s="22"/>
      <c r="OEB47" s="22"/>
      <c r="OEC47" s="22"/>
      <c r="OED47" s="22"/>
      <c r="OEE47" s="22"/>
      <c r="OEF47" s="22"/>
      <c r="OEG47" s="22"/>
      <c r="OEH47" s="22"/>
      <c r="OEI47" s="22"/>
      <c r="OEJ47" s="22"/>
      <c r="OEK47" s="22"/>
      <c r="OEL47" s="22"/>
      <c r="OEM47" s="22"/>
      <c r="OEN47" s="22"/>
      <c r="OEO47" s="22"/>
      <c r="OEP47" s="22"/>
      <c r="OEQ47" s="22"/>
      <c r="OER47" s="22"/>
      <c r="OES47" s="22"/>
      <c r="OET47" s="22"/>
      <c r="OEU47" s="22"/>
      <c r="OEV47" s="22"/>
      <c r="OEW47" s="22"/>
      <c r="OEX47" s="22"/>
      <c r="OEY47" s="22"/>
      <c r="OEZ47" s="22"/>
      <c r="OFA47" s="22"/>
      <c r="OFB47" s="22"/>
      <c r="OFC47" s="22"/>
      <c r="OFD47" s="22"/>
      <c r="OFE47" s="22"/>
      <c r="OFF47" s="22"/>
      <c r="OFG47" s="22"/>
      <c r="OFH47" s="22"/>
      <c r="OFI47" s="22"/>
      <c r="OFJ47" s="22"/>
      <c r="OFK47" s="22"/>
      <c r="OFL47" s="22"/>
      <c r="OFM47" s="22"/>
      <c r="OFN47" s="22"/>
      <c r="OFO47" s="22"/>
      <c r="OFP47" s="22"/>
      <c r="OFQ47" s="22"/>
      <c r="OFR47" s="22"/>
      <c r="OFS47" s="22"/>
      <c r="OFT47" s="22"/>
      <c r="OFU47" s="22"/>
      <c r="OFV47" s="22"/>
      <c r="OFW47" s="22"/>
      <c r="OFX47" s="22"/>
      <c r="OFY47" s="22"/>
      <c r="OFZ47" s="22"/>
      <c r="OGA47" s="22"/>
      <c r="OGB47" s="22"/>
      <c r="OGC47" s="22"/>
      <c r="OGD47" s="22"/>
      <c r="OGE47" s="22"/>
      <c r="OGF47" s="22"/>
      <c r="OGG47" s="22"/>
      <c r="OGH47" s="22"/>
      <c r="OGI47" s="22"/>
      <c r="OGJ47" s="22"/>
      <c r="OGK47" s="22"/>
      <c r="OGL47" s="22"/>
      <c r="OGM47" s="22"/>
      <c r="OGN47" s="22"/>
      <c r="OGO47" s="22"/>
      <c r="OGP47" s="22"/>
      <c r="OGQ47" s="22"/>
      <c r="OGR47" s="22"/>
      <c r="OGS47" s="22"/>
      <c r="OGT47" s="22"/>
      <c r="OGU47" s="22"/>
      <c r="OGV47" s="22"/>
      <c r="OGW47" s="22"/>
      <c r="OGX47" s="22"/>
      <c r="OGY47" s="22"/>
      <c r="OGZ47" s="22"/>
      <c r="OHA47" s="22"/>
      <c r="OHB47" s="22"/>
      <c r="OHC47" s="22"/>
      <c r="OHD47" s="22"/>
      <c r="OHE47" s="22"/>
      <c r="OHF47" s="22"/>
      <c r="OHG47" s="22"/>
      <c r="OHH47" s="22"/>
      <c r="OHI47" s="22"/>
      <c r="OHJ47" s="22"/>
      <c r="OHK47" s="22"/>
      <c r="OHL47" s="22"/>
      <c r="OHM47" s="22"/>
      <c r="OHN47" s="22"/>
      <c r="OHO47" s="22"/>
      <c r="OHP47" s="22"/>
      <c r="OHQ47" s="22"/>
      <c r="OHR47" s="22"/>
      <c r="OHS47" s="22"/>
      <c r="OHT47" s="22"/>
      <c r="OHU47" s="22"/>
      <c r="OHV47" s="22"/>
      <c r="OHW47" s="22"/>
      <c r="OHX47" s="22"/>
      <c r="OHY47" s="22"/>
      <c r="OHZ47" s="22"/>
      <c r="OIA47" s="22"/>
      <c r="OIB47" s="22"/>
      <c r="OIC47" s="22"/>
      <c r="OID47" s="22"/>
      <c r="OIE47" s="22"/>
      <c r="OIF47" s="22"/>
      <c r="OIG47" s="22"/>
      <c r="OIH47" s="22"/>
      <c r="OII47" s="22"/>
      <c r="OIJ47" s="22"/>
      <c r="OIK47" s="22"/>
      <c r="OIL47" s="22"/>
      <c r="OIM47" s="22"/>
      <c r="OIN47" s="22"/>
      <c r="OIO47" s="22"/>
      <c r="OIP47" s="22"/>
      <c r="OIQ47" s="22"/>
      <c r="OIR47" s="22"/>
      <c r="OIS47" s="22"/>
      <c r="OIT47" s="22"/>
      <c r="OIU47" s="22"/>
      <c r="OIV47" s="22"/>
      <c r="OIW47" s="22"/>
      <c r="OIX47" s="22"/>
      <c r="OIY47" s="22"/>
      <c r="OIZ47" s="22"/>
      <c r="OJA47" s="22"/>
      <c r="OJB47" s="22"/>
      <c r="OJC47" s="22"/>
      <c r="OJD47" s="22"/>
      <c r="OJE47" s="22"/>
      <c r="OJF47" s="22"/>
      <c r="OJG47" s="22"/>
      <c r="OJH47" s="22"/>
      <c r="OJI47" s="22"/>
      <c r="OJJ47" s="22"/>
      <c r="OJK47" s="22"/>
      <c r="OJL47" s="22"/>
      <c r="OJM47" s="22"/>
      <c r="OJN47" s="22"/>
      <c r="OJO47" s="22"/>
      <c r="OJP47" s="22"/>
      <c r="OJQ47" s="22"/>
      <c r="OJR47" s="22"/>
      <c r="OJS47" s="22"/>
      <c r="OJT47" s="22"/>
      <c r="OJU47" s="22"/>
      <c r="OJV47" s="22"/>
      <c r="OJW47" s="22"/>
      <c r="OJX47" s="22"/>
      <c r="OJY47" s="22"/>
      <c r="OJZ47" s="22"/>
      <c r="OKA47" s="22"/>
      <c r="OKB47" s="22"/>
      <c r="OKC47" s="22"/>
      <c r="OKD47" s="22"/>
      <c r="OKE47" s="22"/>
      <c r="OKF47" s="22"/>
      <c r="OKG47" s="22"/>
      <c r="OKH47" s="22"/>
      <c r="OKI47" s="22"/>
      <c r="OKJ47" s="22"/>
      <c r="OKK47" s="22"/>
      <c r="OKL47" s="22"/>
      <c r="OKM47" s="22"/>
      <c r="OKN47" s="22"/>
      <c r="OKO47" s="22"/>
      <c r="OKP47" s="22"/>
      <c r="OKQ47" s="22"/>
      <c r="OKR47" s="22"/>
      <c r="OKS47" s="22"/>
      <c r="OKT47" s="22"/>
      <c r="OKU47" s="22"/>
      <c r="OKV47" s="22"/>
      <c r="OKW47" s="22"/>
      <c r="OKX47" s="22"/>
      <c r="OKY47" s="22"/>
      <c r="OKZ47" s="22"/>
      <c r="OLA47" s="22"/>
      <c r="OLB47" s="22"/>
      <c r="OLC47" s="22"/>
      <c r="OLD47" s="22"/>
      <c r="OLE47" s="22"/>
      <c r="OLF47" s="22"/>
      <c r="OLG47" s="22"/>
      <c r="OLH47" s="22"/>
      <c r="OLI47" s="22"/>
      <c r="OLJ47" s="22"/>
      <c r="OLK47" s="22"/>
      <c r="OLL47" s="22"/>
      <c r="OLM47" s="22"/>
      <c r="OLN47" s="22"/>
      <c r="OLO47" s="22"/>
      <c r="OLP47" s="22"/>
      <c r="OLQ47" s="22"/>
      <c r="OLR47" s="22"/>
      <c r="OLS47" s="22"/>
      <c r="OLT47" s="22"/>
      <c r="OLU47" s="22"/>
      <c r="OLV47" s="22"/>
      <c r="OLW47" s="22"/>
      <c r="OLX47" s="22"/>
      <c r="OLY47" s="22"/>
      <c r="OLZ47" s="22"/>
      <c r="OMA47" s="22"/>
      <c r="OMB47" s="22"/>
      <c r="OMC47" s="22"/>
      <c r="OMD47" s="22"/>
      <c r="OME47" s="22"/>
      <c r="OMF47" s="22"/>
      <c r="OMG47" s="22"/>
      <c r="OMH47" s="22"/>
      <c r="OMI47" s="22"/>
      <c r="OMJ47" s="22"/>
      <c r="OMK47" s="22"/>
      <c r="OML47" s="22"/>
      <c r="OMM47" s="22"/>
      <c r="OMN47" s="22"/>
      <c r="OMO47" s="22"/>
      <c r="OMP47" s="22"/>
      <c r="OMQ47" s="22"/>
      <c r="OMR47" s="22"/>
      <c r="OMS47" s="22"/>
      <c r="OMT47" s="22"/>
      <c r="OMU47" s="22"/>
      <c r="OMV47" s="22"/>
      <c r="OMW47" s="22"/>
      <c r="OMX47" s="22"/>
      <c r="OMY47" s="22"/>
      <c r="OMZ47" s="22"/>
      <c r="ONA47" s="22"/>
      <c r="ONB47" s="22"/>
      <c r="ONC47" s="22"/>
      <c r="OND47" s="22"/>
      <c r="ONE47" s="22"/>
      <c r="ONF47" s="22"/>
      <c r="ONG47" s="22"/>
      <c r="ONH47" s="22"/>
      <c r="ONI47" s="22"/>
      <c r="ONJ47" s="22"/>
      <c r="ONK47" s="22"/>
      <c r="ONL47" s="22"/>
      <c r="ONM47" s="22"/>
      <c r="ONN47" s="22"/>
      <c r="ONO47" s="22"/>
      <c r="ONP47" s="22"/>
      <c r="ONQ47" s="22"/>
      <c r="ONR47" s="22"/>
      <c r="ONS47" s="22"/>
      <c r="ONT47" s="22"/>
      <c r="ONU47" s="22"/>
      <c r="ONV47" s="22"/>
      <c r="ONW47" s="22"/>
      <c r="ONX47" s="22"/>
      <c r="ONY47" s="22"/>
      <c r="ONZ47" s="22"/>
      <c r="OOA47" s="22"/>
      <c r="OOB47" s="22"/>
      <c r="OOC47" s="22"/>
      <c r="OOD47" s="22"/>
      <c r="OOE47" s="22"/>
      <c r="OOF47" s="22"/>
      <c r="OOG47" s="22"/>
      <c r="OOH47" s="22"/>
      <c r="OOI47" s="22"/>
      <c r="OOJ47" s="22"/>
      <c r="OOK47" s="22"/>
      <c r="OOL47" s="22"/>
      <c r="OOM47" s="22"/>
      <c r="OON47" s="22"/>
      <c r="OOO47" s="22"/>
      <c r="OOP47" s="22"/>
      <c r="OOQ47" s="22"/>
      <c r="OOR47" s="22"/>
      <c r="OOS47" s="22"/>
      <c r="OOT47" s="22"/>
      <c r="OOU47" s="22"/>
      <c r="OOV47" s="22"/>
      <c r="OOW47" s="22"/>
      <c r="OOX47" s="22"/>
      <c r="OOY47" s="22"/>
      <c r="OOZ47" s="22"/>
      <c r="OPA47" s="22"/>
      <c r="OPB47" s="22"/>
      <c r="OPC47" s="22"/>
      <c r="OPD47" s="22"/>
      <c r="OPE47" s="22"/>
      <c r="OPF47" s="22"/>
      <c r="OPG47" s="22"/>
      <c r="OPH47" s="22"/>
      <c r="OPI47" s="22"/>
      <c r="OPJ47" s="22"/>
      <c r="OPK47" s="22"/>
      <c r="OPL47" s="22"/>
      <c r="OPM47" s="22"/>
      <c r="OPN47" s="22"/>
      <c r="OPO47" s="22"/>
      <c r="OPP47" s="22"/>
      <c r="OPQ47" s="22"/>
      <c r="OPR47" s="22"/>
      <c r="OPS47" s="22"/>
      <c r="OPT47" s="22"/>
      <c r="OPU47" s="22"/>
      <c r="OPV47" s="22"/>
      <c r="OPW47" s="22"/>
      <c r="OPX47" s="22"/>
      <c r="OPY47" s="22"/>
      <c r="OPZ47" s="22"/>
      <c r="OQA47" s="22"/>
      <c r="OQB47" s="22"/>
      <c r="OQC47" s="22"/>
      <c r="OQD47" s="22"/>
      <c r="OQE47" s="22"/>
      <c r="OQF47" s="22"/>
      <c r="OQG47" s="22"/>
      <c r="OQH47" s="22"/>
      <c r="OQI47" s="22"/>
      <c r="OQJ47" s="22"/>
      <c r="OQK47" s="22"/>
      <c r="OQL47" s="22"/>
      <c r="OQM47" s="22"/>
      <c r="OQN47" s="22"/>
      <c r="OQO47" s="22"/>
      <c r="OQP47" s="22"/>
      <c r="OQQ47" s="22"/>
      <c r="OQR47" s="22"/>
      <c r="OQS47" s="22"/>
      <c r="OQT47" s="22"/>
      <c r="OQU47" s="22"/>
      <c r="OQV47" s="22"/>
      <c r="OQW47" s="22"/>
      <c r="OQX47" s="22"/>
      <c r="OQY47" s="22"/>
      <c r="OQZ47" s="22"/>
      <c r="ORA47" s="22"/>
      <c r="ORB47" s="22"/>
      <c r="ORC47" s="22"/>
      <c r="ORD47" s="22"/>
      <c r="ORE47" s="22"/>
      <c r="ORF47" s="22"/>
      <c r="ORG47" s="22"/>
      <c r="ORH47" s="22"/>
      <c r="ORI47" s="22"/>
      <c r="ORJ47" s="22"/>
      <c r="ORK47" s="22"/>
      <c r="ORL47" s="22"/>
      <c r="ORM47" s="22"/>
      <c r="ORN47" s="22"/>
      <c r="ORO47" s="22"/>
      <c r="ORP47" s="22"/>
      <c r="ORQ47" s="22"/>
      <c r="ORR47" s="22"/>
      <c r="ORS47" s="22"/>
      <c r="ORT47" s="22"/>
      <c r="ORU47" s="22"/>
      <c r="ORV47" s="22"/>
      <c r="ORW47" s="22"/>
      <c r="ORX47" s="22"/>
      <c r="ORY47" s="22"/>
      <c r="ORZ47" s="22"/>
      <c r="OSA47" s="22"/>
      <c r="OSB47" s="22"/>
      <c r="OSC47" s="22"/>
      <c r="OSD47" s="22"/>
      <c r="OSE47" s="22"/>
      <c r="OSF47" s="22"/>
      <c r="OSG47" s="22"/>
      <c r="OSH47" s="22"/>
      <c r="OSI47" s="22"/>
      <c r="OSJ47" s="22"/>
      <c r="OSK47" s="22"/>
      <c r="OSL47" s="22"/>
      <c r="OSM47" s="22"/>
      <c r="OSN47" s="22"/>
      <c r="OSO47" s="22"/>
      <c r="OSP47" s="22"/>
      <c r="OSQ47" s="22"/>
      <c r="OSR47" s="22"/>
      <c r="OSS47" s="22"/>
      <c r="OST47" s="22"/>
      <c r="OSU47" s="22"/>
      <c r="OSV47" s="22"/>
      <c r="OSW47" s="22"/>
      <c r="OSX47" s="22"/>
      <c r="OSY47" s="22"/>
      <c r="OSZ47" s="22"/>
      <c r="OTA47" s="22"/>
      <c r="OTB47" s="22"/>
      <c r="OTC47" s="22"/>
      <c r="OTD47" s="22"/>
      <c r="OTE47" s="22"/>
      <c r="OTF47" s="22"/>
      <c r="OTG47" s="22"/>
      <c r="OTH47" s="22"/>
      <c r="OTI47" s="22"/>
      <c r="OTJ47" s="22"/>
      <c r="OTK47" s="22"/>
      <c r="OTL47" s="22"/>
      <c r="OTM47" s="22"/>
      <c r="OTN47" s="22"/>
      <c r="OTO47" s="22"/>
      <c r="OTP47" s="22"/>
      <c r="OTQ47" s="22"/>
      <c r="OTR47" s="22"/>
      <c r="OTS47" s="22"/>
      <c r="OTT47" s="22"/>
      <c r="OTU47" s="22"/>
      <c r="OTV47" s="22"/>
      <c r="OTW47" s="22"/>
      <c r="OTX47" s="22"/>
      <c r="OTY47" s="22"/>
      <c r="OTZ47" s="22"/>
      <c r="OUA47" s="22"/>
      <c r="OUB47" s="22"/>
      <c r="OUC47" s="22"/>
      <c r="OUD47" s="22"/>
      <c r="OUE47" s="22"/>
      <c r="OUF47" s="22"/>
      <c r="OUG47" s="22"/>
      <c r="OUH47" s="22"/>
      <c r="OUI47" s="22"/>
      <c r="OUJ47" s="22"/>
      <c r="OUK47" s="22"/>
      <c r="OUL47" s="22"/>
      <c r="OUM47" s="22"/>
      <c r="OUN47" s="22"/>
      <c r="OUO47" s="22"/>
      <c r="OUP47" s="22"/>
      <c r="OUQ47" s="22"/>
      <c r="OUR47" s="22"/>
      <c r="OUS47" s="22"/>
      <c r="OUT47" s="22"/>
      <c r="OUU47" s="22"/>
      <c r="OUV47" s="22"/>
      <c r="OUW47" s="22"/>
      <c r="OUX47" s="22"/>
      <c r="OUY47" s="22"/>
      <c r="OUZ47" s="22"/>
      <c r="OVA47" s="22"/>
      <c r="OVB47" s="22"/>
      <c r="OVC47" s="22"/>
      <c r="OVD47" s="22"/>
      <c r="OVE47" s="22"/>
      <c r="OVF47" s="22"/>
      <c r="OVG47" s="22"/>
      <c r="OVH47" s="22"/>
      <c r="OVI47" s="22"/>
      <c r="OVJ47" s="22"/>
      <c r="OVK47" s="22"/>
      <c r="OVL47" s="22"/>
      <c r="OVM47" s="22"/>
      <c r="OVN47" s="22"/>
      <c r="OVO47" s="22"/>
      <c r="OVP47" s="22"/>
      <c r="OVQ47" s="22"/>
      <c r="OVR47" s="22"/>
      <c r="OVS47" s="22"/>
      <c r="OVT47" s="22"/>
      <c r="OVU47" s="22"/>
      <c r="OVV47" s="22"/>
      <c r="OVW47" s="22"/>
      <c r="OVX47" s="22"/>
      <c r="OVY47" s="22"/>
      <c r="OVZ47" s="22"/>
      <c r="OWA47" s="22"/>
      <c r="OWB47" s="22"/>
      <c r="OWC47" s="22"/>
      <c r="OWD47" s="22"/>
      <c r="OWE47" s="22"/>
      <c r="OWF47" s="22"/>
      <c r="OWG47" s="22"/>
      <c r="OWH47" s="22"/>
      <c r="OWI47" s="22"/>
      <c r="OWJ47" s="22"/>
      <c r="OWK47" s="22"/>
      <c r="OWL47" s="22"/>
      <c r="OWM47" s="22"/>
      <c r="OWN47" s="22"/>
      <c r="OWO47" s="22"/>
      <c r="OWP47" s="22"/>
      <c r="OWQ47" s="22"/>
      <c r="OWR47" s="22"/>
      <c r="OWS47" s="22"/>
      <c r="OWT47" s="22"/>
      <c r="OWU47" s="22"/>
      <c r="OWV47" s="22"/>
      <c r="OWW47" s="22"/>
      <c r="OWX47" s="22"/>
      <c r="OWY47" s="22"/>
      <c r="OWZ47" s="22"/>
      <c r="OXA47" s="22"/>
      <c r="OXB47" s="22"/>
      <c r="OXC47" s="22"/>
      <c r="OXD47" s="22"/>
      <c r="OXE47" s="22"/>
      <c r="OXF47" s="22"/>
      <c r="OXG47" s="22"/>
      <c r="OXH47" s="22"/>
      <c r="OXI47" s="22"/>
      <c r="OXJ47" s="22"/>
      <c r="OXK47" s="22"/>
      <c r="OXL47" s="22"/>
      <c r="OXM47" s="22"/>
      <c r="OXN47" s="22"/>
      <c r="OXO47" s="22"/>
      <c r="OXP47" s="22"/>
      <c r="OXQ47" s="22"/>
      <c r="OXR47" s="22"/>
      <c r="OXS47" s="22"/>
      <c r="OXT47" s="22"/>
      <c r="OXU47" s="22"/>
      <c r="OXV47" s="22"/>
      <c r="OXW47" s="22"/>
      <c r="OXX47" s="22"/>
      <c r="OXY47" s="22"/>
      <c r="OXZ47" s="22"/>
      <c r="OYA47" s="22"/>
      <c r="OYB47" s="22"/>
      <c r="OYC47" s="22"/>
      <c r="OYD47" s="22"/>
      <c r="OYE47" s="22"/>
      <c r="OYF47" s="22"/>
      <c r="OYG47" s="22"/>
      <c r="OYH47" s="22"/>
      <c r="OYI47" s="22"/>
      <c r="OYJ47" s="22"/>
      <c r="OYK47" s="22"/>
      <c r="OYL47" s="22"/>
      <c r="OYM47" s="22"/>
      <c r="OYN47" s="22"/>
      <c r="OYO47" s="22"/>
      <c r="OYP47" s="22"/>
      <c r="OYQ47" s="22"/>
      <c r="OYR47" s="22"/>
      <c r="OYS47" s="22"/>
      <c r="OYT47" s="22"/>
      <c r="OYU47" s="22"/>
      <c r="OYV47" s="22"/>
      <c r="OYW47" s="22"/>
      <c r="OYX47" s="22"/>
      <c r="OYY47" s="22"/>
      <c r="OYZ47" s="22"/>
      <c r="OZA47" s="22"/>
      <c r="OZB47" s="22"/>
      <c r="OZC47" s="22"/>
      <c r="OZD47" s="22"/>
      <c r="OZE47" s="22"/>
      <c r="OZF47" s="22"/>
      <c r="OZG47" s="22"/>
      <c r="OZH47" s="22"/>
      <c r="OZI47" s="22"/>
      <c r="OZJ47" s="22"/>
      <c r="OZK47" s="22"/>
      <c r="OZL47" s="22"/>
      <c r="OZM47" s="22"/>
      <c r="OZN47" s="22"/>
      <c r="OZO47" s="22"/>
      <c r="OZP47" s="22"/>
      <c r="OZQ47" s="22"/>
      <c r="OZR47" s="22"/>
      <c r="OZS47" s="22"/>
      <c r="OZT47" s="22"/>
      <c r="OZU47" s="22"/>
      <c r="OZV47" s="22"/>
      <c r="OZW47" s="22"/>
      <c r="OZX47" s="22"/>
      <c r="OZY47" s="22"/>
      <c r="OZZ47" s="22"/>
      <c r="PAA47" s="22"/>
      <c r="PAB47" s="22"/>
      <c r="PAC47" s="22"/>
      <c r="PAD47" s="22"/>
      <c r="PAE47" s="22"/>
      <c r="PAF47" s="22"/>
      <c r="PAG47" s="22"/>
      <c r="PAH47" s="22"/>
      <c r="PAI47" s="22"/>
      <c r="PAJ47" s="22"/>
      <c r="PAK47" s="22"/>
      <c r="PAL47" s="22"/>
      <c r="PAM47" s="22"/>
      <c r="PAN47" s="22"/>
      <c r="PAO47" s="22"/>
      <c r="PAP47" s="22"/>
      <c r="PAQ47" s="22"/>
      <c r="PAR47" s="22"/>
      <c r="PAS47" s="22"/>
      <c r="PAT47" s="22"/>
      <c r="PAU47" s="22"/>
      <c r="PAV47" s="22"/>
      <c r="PAW47" s="22"/>
      <c r="PAX47" s="22"/>
      <c r="PAY47" s="22"/>
      <c r="PAZ47" s="22"/>
      <c r="PBA47" s="22"/>
      <c r="PBB47" s="22"/>
      <c r="PBC47" s="22"/>
      <c r="PBD47" s="22"/>
      <c r="PBE47" s="22"/>
      <c r="PBF47" s="22"/>
      <c r="PBG47" s="22"/>
      <c r="PBH47" s="22"/>
      <c r="PBI47" s="22"/>
      <c r="PBJ47" s="22"/>
      <c r="PBK47" s="22"/>
      <c r="PBL47" s="22"/>
      <c r="PBM47" s="22"/>
      <c r="PBN47" s="22"/>
      <c r="PBO47" s="22"/>
      <c r="PBP47" s="22"/>
      <c r="PBQ47" s="22"/>
      <c r="PBR47" s="22"/>
      <c r="PBS47" s="22"/>
      <c r="PBT47" s="22"/>
      <c r="PBU47" s="22"/>
      <c r="PBV47" s="22"/>
      <c r="PBW47" s="22"/>
      <c r="PBX47" s="22"/>
      <c r="PBY47" s="22"/>
      <c r="PBZ47" s="22"/>
      <c r="PCA47" s="22"/>
      <c r="PCB47" s="22"/>
      <c r="PCC47" s="22"/>
      <c r="PCD47" s="22"/>
      <c r="PCE47" s="22"/>
      <c r="PCF47" s="22"/>
      <c r="PCG47" s="22"/>
      <c r="PCH47" s="22"/>
      <c r="PCI47" s="22"/>
      <c r="PCJ47" s="22"/>
      <c r="PCK47" s="22"/>
      <c r="PCL47" s="22"/>
      <c r="PCM47" s="22"/>
      <c r="PCN47" s="22"/>
      <c r="PCO47" s="22"/>
      <c r="PCP47" s="22"/>
      <c r="PCQ47" s="22"/>
      <c r="PCR47" s="22"/>
      <c r="PCS47" s="22"/>
      <c r="PCT47" s="22"/>
      <c r="PCU47" s="22"/>
      <c r="PCV47" s="22"/>
      <c r="PCW47" s="22"/>
      <c r="PCX47" s="22"/>
      <c r="PCY47" s="22"/>
      <c r="PCZ47" s="22"/>
      <c r="PDA47" s="22"/>
      <c r="PDB47" s="22"/>
      <c r="PDC47" s="22"/>
      <c r="PDD47" s="22"/>
      <c r="PDE47" s="22"/>
      <c r="PDF47" s="22"/>
      <c r="PDG47" s="22"/>
      <c r="PDH47" s="22"/>
      <c r="PDI47" s="22"/>
      <c r="PDJ47" s="22"/>
      <c r="PDK47" s="22"/>
      <c r="PDL47" s="22"/>
      <c r="PDM47" s="22"/>
      <c r="PDN47" s="22"/>
      <c r="PDO47" s="22"/>
      <c r="PDP47" s="22"/>
      <c r="PDQ47" s="22"/>
      <c r="PDR47" s="22"/>
      <c r="PDS47" s="22"/>
      <c r="PDT47" s="22"/>
      <c r="PDU47" s="22"/>
      <c r="PDV47" s="22"/>
      <c r="PDW47" s="22"/>
      <c r="PDX47" s="22"/>
      <c r="PDY47" s="22"/>
      <c r="PDZ47" s="22"/>
      <c r="PEA47" s="22"/>
      <c r="PEB47" s="22"/>
      <c r="PEC47" s="22"/>
      <c r="PED47" s="22"/>
      <c r="PEE47" s="22"/>
      <c r="PEF47" s="22"/>
      <c r="PEG47" s="22"/>
      <c r="PEH47" s="22"/>
      <c r="PEI47" s="22"/>
      <c r="PEJ47" s="22"/>
      <c r="PEK47" s="22"/>
      <c r="PEL47" s="22"/>
      <c r="PEM47" s="22"/>
      <c r="PEN47" s="22"/>
      <c r="PEO47" s="22"/>
      <c r="PEP47" s="22"/>
      <c r="PEQ47" s="22"/>
      <c r="PER47" s="22"/>
      <c r="PES47" s="22"/>
      <c r="PET47" s="22"/>
      <c r="PEU47" s="22"/>
      <c r="PEV47" s="22"/>
      <c r="PEW47" s="22"/>
      <c r="PEX47" s="22"/>
      <c r="PEY47" s="22"/>
      <c r="PEZ47" s="22"/>
      <c r="PFA47" s="22"/>
      <c r="PFB47" s="22"/>
      <c r="PFC47" s="22"/>
      <c r="PFD47" s="22"/>
      <c r="PFE47" s="22"/>
      <c r="PFF47" s="22"/>
      <c r="PFG47" s="22"/>
      <c r="PFH47" s="22"/>
      <c r="PFI47" s="22"/>
      <c r="PFJ47" s="22"/>
      <c r="PFK47" s="22"/>
      <c r="PFL47" s="22"/>
      <c r="PFM47" s="22"/>
      <c r="PFN47" s="22"/>
      <c r="PFO47" s="22"/>
      <c r="PFP47" s="22"/>
      <c r="PFQ47" s="22"/>
      <c r="PFR47" s="22"/>
      <c r="PFS47" s="22"/>
      <c r="PFT47" s="22"/>
      <c r="PFU47" s="22"/>
      <c r="PFV47" s="22"/>
      <c r="PFW47" s="22"/>
      <c r="PFX47" s="22"/>
      <c r="PFY47" s="22"/>
      <c r="PFZ47" s="22"/>
      <c r="PGA47" s="22"/>
      <c r="PGB47" s="22"/>
      <c r="PGC47" s="22"/>
      <c r="PGD47" s="22"/>
      <c r="PGE47" s="22"/>
      <c r="PGF47" s="22"/>
      <c r="PGG47" s="22"/>
      <c r="PGH47" s="22"/>
      <c r="PGI47" s="22"/>
      <c r="PGJ47" s="22"/>
      <c r="PGK47" s="22"/>
      <c r="PGL47" s="22"/>
      <c r="PGM47" s="22"/>
      <c r="PGN47" s="22"/>
      <c r="PGO47" s="22"/>
      <c r="PGP47" s="22"/>
      <c r="PGQ47" s="22"/>
      <c r="PGR47" s="22"/>
      <c r="PGS47" s="22"/>
      <c r="PGT47" s="22"/>
      <c r="PGU47" s="22"/>
      <c r="PGV47" s="22"/>
      <c r="PGW47" s="22"/>
      <c r="PGX47" s="22"/>
      <c r="PGY47" s="22"/>
      <c r="PGZ47" s="22"/>
      <c r="PHA47" s="22"/>
      <c r="PHB47" s="22"/>
      <c r="PHC47" s="22"/>
      <c r="PHD47" s="22"/>
      <c r="PHE47" s="22"/>
      <c r="PHF47" s="22"/>
      <c r="PHG47" s="22"/>
      <c r="PHH47" s="22"/>
      <c r="PHI47" s="22"/>
      <c r="PHJ47" s="22"/>
      <c r="PHK47" s="22"/>
      <c r="PHL47" s="22"/>
      <c r="PHM47" s="22"/>
      <c r="PHN47" s="22"/>
      <c r="PHO47" s="22"/>
      <c r="PHP47" s="22"/>
      <c r="PHQ47" s="22"/>
      <c r="PHR47" s="22"/>
      <c r="PHS47" s="22"/>
      <c r="PHT47" s="22"/>
      <c r="PHU47" s="22"/>
      <c r="PHV47" s="22"/>
      <c r="PHW47" s="22"/>
      <c r="PHX47" s="22"/>
      <c r="PHY47" s="22"/>
      <c r="PHZ47" s="22"/>
      <c r="PIA47" s="22"/>
      <c r="PIB47" s="22"/>
      <c r="PIC47" s="22"/>
      <c r="PID47" s="22"/>
      <c r="PIE47" s="22"/>
      <c r="PIF47" s="22"/>
      <c r="PIG47" s="22"/>
      <c r="PIH47" s="22"/>
      <c r="PII47" s="22"/>
      <c r="PIJ47" s="22"/>
      <c r="PIK47" s="22"/>
      <c r="PIL47" s="22"/>
      <c r="PIM47" s="22"/>
      <c r="PIN47" s="22"/>
      <c r="PIO47" s="22"/>
      <c r="PIP47" s="22"/>
      <c r="PIQ47" s="22"/>
      <c r="PIR47" s="22"/>
      <c r="PIS47" s="22"/>
      <c r="PIT47" s="22"/>
      <c r="PIU47" s="22"/>
      <c r="PIV47" s="22"/>
      <c r="PIW47" s="22"/>
      <c r="PIX47" s="22"/>
      <c r="PIY47" s="22"/>
      <c r="PIZ47" s="22"/>
      <c r="PJA47" s="22"/>
      <c r="PJB47" s="22"/>
      <c r="PJC47" s="22"/>
      <c r="PJD47" s="22"/>
      <c r="PJE47" s="22"/>
      <c r="PJF47" s="22"/>
      <c r="PJG47" s="22"/>
      <c r="PJH47" s="22"/>
      <c r="PJI47" s="22"/>
      <c r="PJJ47" s="22"/>
      <c r="PJK47" s="22"/>
      <c r="PJL47" s="22"/>
      <c r="PJM47" s="22"/>
      <c r="PJN47" s="22"/>
      <c r="PJO47" s="22"/>
      <c r="PJP47" s="22"/>
      <c r="PJQ47" s="22"/>
      <c r="PJR47" s="22"/>
      <c r="PJS47" s="22"/>
      <c r="PJT47" s="22"/>
      <c r="PJU47" s="22"/>
      <c r="PJV47" s="22"/>
      <c r="PJW47" s="22"/>
      <c r="PJX47" s="22"/>
      <c r="PJY47" s="22"/>
      <c r="PJZ47" s="22"/>
      <c r="PKA47" s="22"/>
      <c r="PKB47" s="22"/>
      <c r="PKC47" s="22"/>
      <c r="PKD47" s="22"/>
      <c r="PKE47" s="22"/>
      <c r="PKF47" s="22"/>
      <c r="PKG47" s="22"/>
      <c r="PKH47" s="22"/>
      <c r="PKI47" s="22"/>
      <c r="PKJ47" s="22"/>
      <c r="PKK47" s="22"/>
      <c r="PKL47" s="22"/>
      <c r="PKM47" s="22"/>
      <c r="PKN47" s="22"/>
      <c r="PKO47" s="22"/>
      <c r="PKP47" s="22"/>
      <c r="PKQ47" s="22"/>
      <c r="PKR47" s="22"/>
      <c r="PKS47" s="22"/>
      <c r="PKT47" s="22"/>
      <c r="PKU47" s="22"/>
      <c r="PKV47" s="22"/>
      <c r="PKW47" s="22"/>
      <c r="PKX47" s="22"/>
      <c r="PKY47" s="22"/>
      <c r="PKZ47" s="22"/>
      <c r="PLA47" s="22"/>
      <c r="PLB47" s="22"/>
      <c r="PLC47" s="22"/>
      <c r="PLD47" s="22"/>
      <c r="PLE47" s="22"/>
      <c r="PLF47" s="22"/>
      <c r="PLG47" s="22"/>
      <c r="PLH47" s="22"/>
      <c r="PLI47" s="22"/>
      <c r="PLJ47" s="22"/>
      <c r="PLK47" s="22"/>
      <c r="PLL47" s="22"/>
      <c r="PLM47" s="22"/>
      <c r="PLN47" s="22"/>
      <c r="PLO47" s="22"/>
      <c r="PLP47" s="22"/>
      <c r="PLQ47" s="22"/>
      <c r="PLR47" s="22"/>
      <c r="PLS47" s="22"/>
      <c r="PLT47" s="22"/>
      <c r="PLU47" s="22"/>
      <c r="PLV47" s="22"/>
      <c r="PLW47" s="22"/>
      <c r="PLX47" s="22"/>
      <c r="PLY47" s="22"/>
      <c r="PLZ47" s="22"/>
      <c r="PMA47" s="22"/>
      <c r="PMB47" s="22"/>
      <c r="PMC47" s="22"/>
      <c r="PMD47" s="22"/>
      <c r="PME47" s="22"/>
      <c r="PMF47" s="22"/>
      <c r="PMG47" s="22"/>
      <c r="PMH47" s="22"/>
      <c r="PMI47" s="22"/>
      <c r="PMJ47" s="22"/>
      <c r="PMK47" s="22"/>
      <c r="PML47" s="22"/>
      <c r="PMM47" s="22"/>
      <c r="PMN47" s="22"/>
      <c r="PMO47" s="22"/>
      <c r="PMP47" s="22"/>
      <c r="PMQ47" s="22"/>
      <c r="PMR47" s="22"/>
      <c r="PMS47" s="22"/>
      <c r="PMT47" s="22"/>
      <c r="PMU47" s="22"/>
      <c r="PMV47" s="22"/>
      <c r="PMW47" s="22"/>
      <c r="PMX47" s="22"/>
      <c r="PMY47" s="22"/>
      <c r="PMZ47" s="22"/>
      <c r="PNA47" s="22"/>
      <c r="PNB47" s="22"/>
      <c r="PNC47" s="22"/>
      <c r="PND47" s="22"/>
      <c r="PNE47" s="22"/>
      <c r="PNF47" s="22"/>
      <c r="PNG47" s="22"/>
      <c r="PNH47" s="22"/>
      <c r="PNI47" s="22"/>
      <c r="PNJ47" s="22"/>
      <c r="PNK47" s="22"/>
      <c r="PNL47" s="22"/>
      <c r="PNM47" s="22"/>
      <c r="PNN47" s="22"/>
      <c r="PNO47" s="22"/>
      <c r="PNP47" s="22"/>
      <c r="PNQ47" s="22"/>
      <c r="PNR47" s="22"/>
      <c r="PNS47" s="22"/>
      <c r="PNT47" s="22"/>
      <c r="PNU47" s="22"/>
      <c r="PNV47" s="22"/>
      <c r="PNW47" s="22"/>
      <c r="PNX47" s="22"/>
      <c r="PNY47" s="22"/>
      <c r="PNZ47" s="22"/>
      <c r="POA47" s="22"/>
      <c r="POB47" s="22"/>
      <c r="POC47" s="22"/>
      <c r="POD47" s="22"/>
      <c r="POE47" s="22"/>
      <c r="POF47" s="22"/>
      <c r="POG47" s="22"/>
      <c r="POH47" s="22"/>
      <c r="POI47" s="22"/>
      <c r="POJ47" s="22"/>
      <c r="POK47" s="22"/>
      <c r="POL47" s="22"/>
      <c r="POM47" s="22"/>
      <c r="PON47" s="22"/>
      <c r="POO47" s="22"/>
      <c r="POP47" s="22"/>
      <c r="POQ47" s="22"/>
      <c r="POR47" s="22"/>
      <c r="POS47" s="22"/>
      <c r="POT47" s="22"/>
      <c r="POU47" s="22"/>
      <c r="POV47" s="22"/>
      <c r="POW47" s="22"/>
      <c r="POX47" s="22"/>
      <c r="POY47" s="22"/>
      <c r="POZ47" s="22"/>
      <c r="PPA47" s="22"/>
      <c r="PPB47" s="22"/>
      <c r="PPC47" s="22"/>
      <c r="PPD47" s="22"/>
      <c r="PPE47" s="22"/>
      <c r="PPF47" s="22"/>
      <c r="PPG47" s="22"/>
      <c r="PPH47" s="22"/>
      <c r="PPI47" s="22"/>
      <c r="PPJ47" s="22"/>
      <c r="PPK47" s="22"/>
      <c r="PPL47" s="22"/>
      <c r="PPM47" s="22"/>
      <c r="PPN47" s="22"/>
      <c r="PPO47" s="22"/>
      <c r="PPP47" s="22"/>
      <c r="PPQ47" s="22"/>
      <c r="PPR47" s="22"/>
      <c r="PPS47" s="22"/>
      <c r="PPT47" s="22"/>
      <c r="PPU47" s="22"/>
      <c r="PPV47" s="22"/>
      <c r="PPW47" s="22"/>
      <c r="PPX47" s="22"/>
      <c r="PPY47" s="22"/>
      <c r="PPZ47" s="22"/>
      <c r="PQA47" s="22"/>
      <c r="PQB47" s="22"/>
      <c r="PQC47" s="22"/>
      <c r="PQD47" s="22"/>
      <c r="PQE47" s="22"/>
      <c r="PQF47" s="22"/>
      <c r="PQG47" s="22"/>
      <c r="PQH47" s="22"/>
      <c r="PQI47" s="22"/>
      <c r="PQJ47" s="22"/>
      <c r="PQK47" s="22"/>
      <c r="PQL47" s="22"/>
      <c r="PQM47" s="22"/>
      <c r="PQN47" s="22"/>
      <c r="PQO47" s="22"/>
      <c r="PQP47" s="22"/>
      <c r="PQQ47" s="22"/>
      <c r="PQR47" s="22"/>
      <c r="PQS47" s="22"/>
      <c r="PQT47" s="22"/>
      <c r="PQU47" s="22"/>
      <c r="PQV47" s="22"/>
      <c r="PQW47" s="22"/>
      <c r="PQX47" s="22"/>
      <c r="PQY47" s="22"/>
      <c r="PQZ47" s="22"/>
      <c r="PRA47" s="22"/>
      <c r="PRB47" s="22"/>
      <c r="PRC47" s="22"/>
      <c r="PRD47" s="22"/>
      <c r="PRE47" s="22"/>
      <c r="PRF47" s="22"/>
      <c r="PRG47" s="22"/>
      <c r="PRH47" s="22"/>
      <c r="PRI47" s="22"/>
      <c r="PRJ47" s="22"/>
      <c r="PRK47" s="22"/>
      <c r="PRL47" s="22"/>
      <c r="PRM47" s="22"/>
      <c r="PRN47" s="22"/>
      <c r="PRO47" s="22"/>
      <c r="PRP47" s="22"/>
      <c r="PRQ47" s="22"/>
      <c r="PRR47" s="22"/>
      <c r="PRS47" s="22"/>
      <c r="PRT47" s="22"/>
      <c r="PRU47" s="22"/>
      <c r="PRV47" s="22"/>
      <c r="PRW47" s="22"/>
      <c r="PRX47" s="22"/>
      <c r="PRY47" s="22"/>
      <c r="PRZ47" s="22"/>
      <c r="PSA47" s="22"/>
      <c r="PSB47" s="22"/>
      <c r="PSC47" s="22"/>
      <c r="PSD47" s="22"/>
      <c r="PSE47" s="22"/>
      <c r="PSF47" s="22"/>
      <c r="PSG47" s="22"/>
      <c r="PSH47" s="22"/>
      <c r="PSI47" s="22"/>
      <c r="PSJ47" s="22"/>
      <c r="PSK47" s="22"/>
      <c r="PSL47" s="22"/>
      <c r="PSM47" s="22"/>
      <c r="PSN47" s="22"/>
      <c r="PSO47" s="22"/>
      <c r="PSP47" s="22"/>
      <c r="PSQ47" s="22"/>
      <c r="PSR47" s="22"/>
      <c r="PSS47" s="22"/>
      <c r="PST47" s="22"/>
      <c r="PSU47" s="22"/>
      <c r="PSV47" s="22"/>
      <c r="PSW47" s="22"/>
      <c r="PSX47" s="22"/>
      <c r="PSY47" s="22"/>
      <c r="PSZ47" s="22"/>
      <c r="PTA47" s="22"/>
      <c r="PTB47" s="22"/>
      <c r="PTC47" s="22"/>
      <c r="PTD47" s="22"/>
      <c r="PTE47" s="22"/>
      <c r="PTF47" s="22"/>
      <c r="PTG47" s="22"/>
      <c r="PTH47" s="22"/>
      <c r="PTI47" s="22"/>
      <c r="PTJ47" s="22"/>
      <c r="PTK47" s="22"/>
      <c r="PTL47" s="22"/>
      <c r="PTM47" s="22"/>
      <c r="PTN47" s="22"/>
      <c r="PTO47" s="22"/>
      <c r="PTP47" s="22"/>
      <c r="PTQ47" s="22"/>
      <c r="PTR47" s="22"/>
      <c r="PTS47" s="22"/>
      <c r="PTT47" s="22"/>
      <c r="PTU47" s="22"/>
      <c r="PTV47" s="22"/>
      <c r="PTW47" s="22"/>
      <c r="PTX47" s="22"/>
      <c r="PTY47" s="22"/>
      <c r="PTZ47" s="22"/>
      <c r="PUA47" s="22"/>
      <c r="PUB47" s="22"/>
      <c r="PUC47" s="22"/>
      <c r="PUD47" s="22"/>
      <c r="PUE47" s="22"/>
      <c r="PUF47" s="22"/>
      <c r="PUG47" s="22"/>
      <c r="PUH47" s="22"/>
      <c r="PUI47" s="22"/>
      <c r="PUJ47" s="22"/>
      <c r="PUK47" s="22"/>
      <c r="PUL47" s="22"/>
      <c r="PUM47" s="22"/>
      <c r="PUN47" s="22"/>
      <c r="PUO47" s="22"/>
      <c r="PUP47" s="22"/>
      <c r="PUQ47" s="22"/>
      <c r="PUR47" s="22"/>
      <c r="PUS47" s="22"/>
      <c r="PUT47" s="22"/>
      <c r="PUU47" s="22"/>
      <c r="PUV47" s="22"/>
      <c r="PUW47" s="22"/>
      <c r="PUX47" s="22"/>
      <c r="PUY47" s="22"/>
      <c r="PUZ47" s="22"/>
      <c r="PVA47" s="22"/>
      <c r="PVB47" s="22"/>
      <c r="PVC47" s="22"/>
      <c r="PVD47" s="22"/>
      <c r="PVE47" s="22"/>
      <c r="PVF47" s="22"/>
      <c r="PVG47" s="22"/>
      <c r="PVH47" s="22"/>
      <c r="PVI47" s="22"/>
      <c r="PVJ47" s="22"/>
      <c r="PVK47" s="22"/>
      <c r="PVL47" s="22"/>
      <c r="PVM47" s="22"/>
      <c r="PVN47" s="22"/>
      <c r="PVO47" s="22"/>
      <c r="PVP47" s="22"/>
      <c r="PVQ47" s="22"/>
      <c r="PVR47" s="22"/>
      <c r="PVS47" s="22"/>
      <c r="PVT47" s="22"/>
      <c r="PVU47" s="22"/>
      <c r="PVV47" s="22"/>
      <c r="PVW47" s="22"/>
      <c r="PVX47" s="22"/>
      <c r="PVY47" s="22"/>
      <c r="PVZ47" s="22"/>
      <c r="PWA47" s="22"/>
      <c r="PWB47" s="22"/>
      <c r="PWC47" s="22"/>
      <c r="PWD47" s="22"/>
      <c r="PWE47" s="22"/>
      <c r="PWF47" s="22"/>
      <c r="PWG47" s="22"/>
      <c r="PWH47" s="22"/>
      <c r="PWI47" s="22"/>
      <c r="PWJ47" s="22"/>
      <c r="PWK47" s="22"/>
      <c r="PWL47" s="22"/>
      <c r="PWM47" s="22"/>
      <c r="PWN47" s="22"/>
      <c r="PWO47" s="22"/>
      <c r="PWP47" s="22"/>
      <c r="PWQ47" s="22"/>
      <c r="PWR47" s="22"/>
      <c r="PWS47" s="22"/>
      <c r="PWT47" s="22"/>
      <c r="PWU47" s="22"/>
      <c r="PWV47" s="22"/>
      <c r="PWW47" s="22"/>
      <c r="PWX47" s="22"/>
      <c r="PWY47" s="22"/>
      <c r="PWZ47" s="22"/>
      <c r="PXA47" s="22"/>
      <c r="PXB47" s="22"/>
      <c r="PXC47" s="22"/>
      <c r="PXD47" s="22"/>
      <c r="PXE47" s="22"/>
      <c r="PXF47" s="22"/>
      <c r="PXG47" s="22"/>
      <c r="PXH47" s="22"/>
      <c r="PXI47" s="22"/>
      <c r="PXJ47" s="22"/>
      <c r="PXK47" s="22"/>
      <c r="PXL47" s="22"/>
      <c r="PXM47" s="22"/>
      <c r="PXN47" s="22"/>
      <c r="PXO47" s="22"/>
      <c r="PXP47" s="22"/>
      <c r="PXQ47" s="22"/>
      <c r="PXR47" s="22"/>
      <c r="PXS47" s="22"/>
      <c r="PXT47" s="22"/>
      <c r="PXU47" s="22"/>
      <c r="PXV47" s="22"/>
      <c r="PXW47" s="22"/>
      <c r="PXX47" s="22"/>
      <c r="PXY47" s="22"/>
      <c r="PXZ47" s="22"/>
      <c r="PYA47" s="22"/>
      <c r="PYB47" s="22"/>
      <c r="PYC47" s="22"/>
      <c r="PYD47" s="22"/>
      <c r="PYE47" s="22"/>
      <c r="PYF47" s="22"/>
      <c r="PYG47" s="22"/>
      <c r="PYH47" s="22"/>
      <c r="PYI47" s="22"/>
      <c r="PYJ47" s="22"/>
      <c r="PYK47" s="22"/>
      <c r="PYL47" s="22"/>
      <c r="PYM47" s="22"/>
      <c r="PYN47" s="22"/>
      <c r="PYO47" s="22"/>
      <c r="PYP47" s="22"/>
      <c r="PYQ47" s="22"/>
      <c r="PYR47" s="22"/>
      <c r="PYS47" s="22"/>
      <c r="PYT47" s="22"/>
      <c r="PYU47" s="22"/>
      <c r="PYV47" s="22"/>
      <c r="PYW47" s="22"/>
      <c r="PYX47" s="22"/>
      <c r="PYY47" s="22"/>
      <c r="PYZ47" s="22"/>
      <c r="PZA47" s="22"/>
      <c r="PZB47" s="22"/>
      <c r="PZC47" s="22"/>
      <c r="PZD47" s="22"/>
      <c r="PZE47" s="22"/>
      <c r="PZF47" s="22"/>
      <c r="PZG47" s="22"/>
      <c r="PZH47" s="22"/>
      <c r="PZI47" s="22"/>
      <c r="PZJ47" s="22"/>
      <c r="PZK47" s="22"/>
      <c r="PZL47" s="22"/>
      <c r="PZM47" s="22"/>
      <c r="PZN47" s="22"/>
      <c r="PZO47" s="22"/>
      <c r="PZP47" s="22"/>
      <c r="PZQ47" s="22"/>
      <c r="PZR47" s="22"/>
      <c r="PZS47" s="22"/>
      <c r="PZT47" s="22"/>
      <c r="PZU47" s="22"/>
      <c r="PZV47" s="22"/>
      <c r="PZW47" s="22"/>
      <c r="PZX47" s="22"/>
      <c r="PZY47" s="22"/>
      <c r="PZZ47" s="22"/>
      <c r="QAA47" s="22"/>
      <c r="QAB47" s="22"/>
      <c r="QAC47" s="22"/>
      <c r="QAD47" s="22"/>
      <c r="QAE47" s="22"/>
      <c r="QAF47" s="22"/>
      <c r="QAG47" s="22"/>
      <c r="QAH47" s="22"/>
      <c r="QAI47" s="22"/>
      <c r="QAJ47" s="22"/>
      <c r="QAK47" s="22"/>
      <c r="QAL47" s="22"/>
      <c r="QAM47" s="22"/>
      <c r="QAN47" s="22"/>
      <c r="QAO47" s="22"/>
      <c r="QAP47" s="22"/>
      <c r="QAQ47" s="22"/>
      <c r="QAR47" s="22"/>
      <c r="QAS47" s="22"/>
      <c r="QAT47" s="22"/>
      <c r="QAU47" s="22"/>
      <c r="QAV47" s="22"/>
      <c r="QAW47" s="22"/>
      <c r="QAX47" s="22"/>
      <c r="QAY47" s="22"/>
      <c r="QAZ47" s="22"/>
      <c r="QBA47" s="22"/>
      <c r="QBB47" s="22"/>
      <c r="QBC47" s="22"/>
      <c r="QBD47" s="22"/>
      <c r="QBE47" s="22"/>
      <c r="QBF47" s="22"/>
      <c r="QBG47" s="22"/>
      <c r="QBH47" s="22"/>
      <c r="QBI47" s="22"/>
      <c r="QBJ47" s="22"/>
      <c r="QBK47" s="22"/>
      <c r="QBL47" s="22"/>
      <c r="QBM47" s="22"/>
      <c r="QBN47" s="22"/>
      <c r="QBO47" s="22"/>
      <c r="QBP47" s="22"/>
      <c r="QBQ47" s="22"/>
      <c r="QBR47" s="22"/>
      <c r="QBS47" s="22"/>
      <c r="QBT47" s="22"/>
      <c r="QBU47" s="22"/>
      <c r="QBV47" s="22"/>
      <c r="QBW47" s="22"/>
      <c r="QBX47" s="22"/>
      <c r="QBY47" s="22"/>
      <c r="QBZ47" s="22"/>
      <c r="QCA47" s="22"/>
      <c r="QCB47" s="22"/>
      <c r="QCC47" s="22"/>
      <c r="QCD47" s="22"/>
      <c r="QCE47" s="22"/>
      <c r="QCF47" s="22"/>
      <c r="QCG47" s="22"/>
      <c r="QCH47" s="22"/>
      <c r="QCI47" s="22"/>
      <c r="QCJ47" s="22"/>
      <c r="QCK47" s="22"/>
      <c r="QCL47" s="22"/>
      <c r="QCM47" s="22"/>
      <c r="QCN47" s="22"/>
      <c r="QCO47" s="22"/>
      <c r="QCP47" s="22"/>
      <c r="QCQ47" s="22"/>
      <c r="QCR47" s="22"/>
      <c r="QCS47" s="22"/>
      <c r="QCT47" s="22"/>
      <c r="QCU47" s="22"/>
      <c r="QCV47" s="22"/>
      <c r="QCW47" s="22"/>
      <c r="QCX47" s="22"/>
      <c r="QCY47" s="22"/>
      <c r="QCZ47" s="22"/>
      <c r="QDA47" s="22"/>
      <c r="QDB47" s="22"/>
      <c r="QDC47" s="22"/>
      <c r="QDD47" s="22"/>
      <c r="QDE47" s="22"/>
      <c r="QDF47" s="22"/>
      <c r="QDG47" s="22"/>
      <c r="QDH47" s="22"/>
      <c r="QDI47" s="22"/>
      <c r="QDJ47" s="22"/>
      <c r="QDK47" s="22"/>
      <c r="QDL47" s="22"/>
      <c r="QDM47" s="22"/>
      <c r="QDN47" s="22"/>
      <c r="QDO47" s="22"/>
      <c r="QDP47" s="22"/>
      <c r="QDQ47" s="22"/>
      <c r="QDR47" s="22"/>
      <c r="QDS47" s="22"/>
      <c r="QDT47" s="22"/>
      <c r="QDU47" s="22"/>
      <c r="QDV47" s="22"/>
      <c r="QDW47" s="22"/>
      <c r="QDX47" s="22"/>
      <c r="QDY47" s="22"/>
      <c r="QDZ47" s="22"/>
      <c r="QEA47" s="22"/>
      <c r="QEB47" s="22"/>
      <c r="QEC47" s="22"/>
      <c r="QED47" s="22"/>
      <c r="QEE47" s="22"/>
      <c r="QEF47" s="22"/>
      <c r="QEG47" s="22"/>
      <c r="QEH47" s="22"/>
      <c r="QEI47" s="22"/>
      <c r="QEJ47" s="22"/>
      <c r="QEK47" s="22"/>
      <c r="QEL47" s="22"/>
      <c r="QEM47" s="22"/>
      <c r="QEN47" s="22"/>
      <c r="QEO47" s="22"/>
      <c r="QEP47" s="22"/>
      <c r="QEQ47" s="22"/>
      <c r="QER47" s="22"/>
      <c r="QES47" s="22"/>
      <c r="QET47" s="22"/>
      <c r="QEU47" s="22"/>
      <c r="QEV47" s="22"/>
      <c r="QEW47" s="22"/>
      <c r="QEX47" s="22"/>
      <c r="QEY47" s="22"/>
      <c r="QEZ47" s="22"/>
      <c r="QFA47" s="22"/>
      <c r="QFB47" s="22"/>
      <c r="QFC47" s="22"/>
      <c r="QFD47" s="22"/>
      <c r="QFE47" s="22"/>
      <c r="QFF47" s="22"/>
      <c r="QFG47" s="22"/>
      <c r="QFH47" s="22"/>
      <c r="QFI47" s="22"/>
      <c r="QFJ47" s="22"/>
      <c r="QFK47" s="22"/>
      <c r="QFL47" s="22"/>
      <c r="QFM47" s="22"/>
      <c r="QFN47" s="22"/>
      <c r="QFO47" s="22"/>
      <c r="QFP47" s="22"/>
      <c r="QFQ47" s="22"/>
      <c r="QFR47" s="22"/>
      <c r="QFS47" s="22"/>
      <c r="QFT47" s="22"/>
      <c r="QFU47" s="22"/>
      <c r="QFV47" s="22"/>
      <c r="QFW47" s="22"/>
      <c r="QFX47" s="22"/>
      <c r="QFY47" s="22"/>
      <c r="QFZ47" s="22"/>
      <c r="QGA47" s="22"/>
      <c r="QGB47" s="22"/>
      <c r="QGC47" s="22"/>
      <c r="QGD47" s="22"/>
      <c r="QGE47" s="22"/>
      <c r="QGF47" s="22"/>
      <c r="QGG47" s="22"/>
      <c r="QGH47" s="22"/>
      <c r="QGI47" s="22"/>
      <c r="QGJ47" s="22"/>
      <c r="QGK47" s="22"/>
      <c r="QGL47" s="22"/>
      <c r="QGM47" s="22"/>
      <c r="QGN47" s="22"/>
      <c r="QGO47" s="22"/>
      <c r="QGP47" s="22"/>
      <c r="QGQ47" s="22"/>
      <c r="QGR47" s="22"/>
      <c r="QGS47" s="22"/>
      <c r="QGT47" s="22"/>
      <c r="QGU47" s="22"/>
      <c r="QGV47" s="22"/>
      <c r="QGW47" s="22"/>
      <c r="QGX47" s="22"/>
      <c r="QGY47" s="22"/>
      <c r="QGZ47" s="22"/>
      <c r="QHA47" s="22"/>
      <c r="QHB47" s="22"/>
      <c r="QHC47" s="22"/>
      <c r="QHD47" s="22"/>
      <c r="QHE47" s="22"/>
      <c r="QHF47" s="22"/>
      <c r="QHG47" s="22"/>
      <c r="QHH47" s="22"/>
      <c r="QHI47" s="22"/>
      <c r="QHJ47" s="22"/>
      <c r="QHK47" s="22"/>
      <c r="QHL47" s="22"/>
      <c r="QHM47" s="22"/>
      <c r="QHN47" s="22"/>
      <c r="QHO47" s="22"/>
      <c r="QHP47" s="22"/>
      <c r="QHQ47" s="22"/>
      <c r="QHR47" s="22"/>
      <c r="QHS47" s="22"/>
      <c r="QHT47" s="22"/>
      <c r="QHU47" s="22"/>
      <c r="QHV47" s="22"/>
      <c r="QHW47" s="22"/>
      <c r="QHX47" s="22"/>
      <c r="QHY47" s="22"/>
      <c r="QHZ47" s="22"/>
      <c r="QIA47" s="22"/>
      <c r="QIB47" s="22"/>
      <c r="QIC47" s="22"/>
      <c r="QID47" s="22"/>
      <c r="QIE47" s="22"/>
      <c r="QIF47" s="22"/>
      <c r="QIG47" s="22"/>
      <c r="QIH47" s="22"/>
      <c r="QII47" s="22"/>
      <c r="QIJ47" s="22"/>
      <c r="QIK47" s="22"/>
      <c r="QIL47" s="22"/>
      <c r="QIM47" s="22"/>
      <c r="QIN47" s="22"/>
      <c r="QIO47" s="22"/>
      <c r="QIP47" s="22"/>
      <c r="QIQ47" s="22"/>
      <c r="QIR47" s="22"/>
      <c r="QIS47" s="22"/>
      <c r="QIT47" s="22"/>
      <c r="QIU47" s="22"/>
      <c r="QIV47" s="22"/>
      <c r="QIW47" s="22"/>
      <c r="QIX47" s="22"/>
      <c r="QIY47" s="22"/>
      <c r="QIZ47" s="22"/>
      <c r="QJA47" s="22"/>
      <c r="QJB47" s="22"/>
      <c r="QJC47" s="22"/>
      <c r="QJD47" s="22"/>
      <c r="QJE47" s="22"/>
      <c r="QJF47" s="22"/>
      <c r="QJG47" s="22"/>
      <c r="QJH47" s="22"/>
      <c r="QJI47" s="22"/>
      <c r="QJJ47" s="22"/>
      <c r="QJK47" s="22"/>
      <c r="QJL47" s="22"/>
      <c r="QJM47" s="22"/>
      <c r="QJN47" s="22"/>
      <c r="QJO47" s="22"/>
      <c r="QJP47" s="22"/>
      <c r="QJQ47" s="22"/>
      <c r="QJR47" s="22"/>
      <c r="QJS47" s="22"/>
      <c r="QJT47" s="22"/>
      <c r="QJU47" s="22"/>
      <c r="QJV47" s="22"/>
      <c r="QJW47" s="22"/>
      <c r="QJX47" s="22"/>
      <c r="QJY47" s="22"/>
      <c r="QJZ47" s="22"/>
      <c r="QKA47" s="22"/>
      <c r="QKB47" s="22"/>
      <c r="QKC47" s="22"/>
      <c r="QKD47" s="22"/>
      <c r="QKE47" s="22"/>
      <c r="QKF47" s="22"/>
      <c r="QKG47" s="22"/>
      <c r="QKH47" s="22"/>
      <c r="QKI47" s="22"/>
      <c r="QKJ47" s="22"/>
      <c r="QKK47" s="22"/>
      <c r="QKL47" s="22"/>
      <c r="QKM47" s="22"/>
      <c r="QKN47" s="22"/>
      <c r="QKO47" s="22"/>
      <c r="QKP47" s="22"/>
      <c r="QKQ47" s="22"/>
      <c r="QKR47" s="22"/>
      <c r="QKS47" s="22"/>
      <c r="QKT47" s="22"/>
      <c r="QKU47" s="22"/>
      <c r="QKV47" s="22"/>
      <c r="QKW47" s="22"/>
      <c r="QKX47" s="22"/>
      <c r="QKY47" s="22"/>
      <c r="QKZ47" s="22"/>
      <c r="QLA47" s="22"/>
      <c r="QLB47" s="22"/>
      <c r="QLC47" s="22"/>
      <c r="QLD47" s="22"/>
      <c r="QLE47" s="22"/>
      <c r="QLF47" s="22"/>
      <c r="QLG47" s="22"/>
      <c r="QLH47" s="22"/>
      <c r="QLI47" s="22"/>
      <c r="QLJ47" s="22"/>
      <c r="QLK47" s="22"/>
      <c r="QLL47" s="22"/>
      <c r="QLM47" s="22"/>
      <c r="QLN47" s="22"/>
      <c r="QLO47" s="22"/>
      <c r="QLP47" s="22"/>
      <c r="QLQ47" s="22"/>
      <c r="QLR47" s="22"/>
      <c r="QLS47" s="22"/>
      <c r="QLT47" s="22"/>
      <c r="QLU47" s="22"/>
      <c r="QLV47" s="22"/>
      <c r="QLW47" s="22"/>
      <c r="QLX47" s="22"/>
      <c r="QLY47" s="22"/>
      <c r="QLZ47" s="22"/>
      <c r="QMA47" s="22"/>
      <c r="QMB47" s="22"/>
      <c r="QMC47" s="22"/>
      <c r="QMD47" s="22"/>
      <c r="QME47" s="22"/>
      <c r="QMF47" s="22"/>
      <c r="QMG47" s="22"/>
      <c r="QMH47" s="22"/>
      <c r="QMI47" s="22"/>
      <c r="QMJ47" s="22"/>
      <c r="QMK47" s="22"/>
      <c r="QML47" s="22"/>
      <c r="QMM47" s="22"/>
      <c r="QMN47" s="22"/>
      <c r="QMO47" s="22"/>
      <c r="QMP47" s="22"/>
      <c r="QMQ47" s="22"/>
      <c r="QMR47" s="22"/>
      <c r="QMS47" s="22"/>
      <c r="QMT47" s="22"/>
      <c r="QMU47" s="22"/>
      <c r="QMV47" s="22"/>
      <c r="QMW47" s="22"/>
      <c r="QMX47" s="22"/>
      <c r="QMY47" s="22"/>
      <c r="QMZ47" s="22"/>
      <c r="QNA47" s="22"/>
      <c r="QNB47" s="22"/>
      <c r="QNC47" s="22"/>
      <c r="QND47" s="22"/>
      <c r="QNE47" s="22"/>
      <c r="QNF47" s="22"/>
      <c r="QNG47" s="22"/>
      <c r="QNH47" s="22"/>
      <c r="QNI47" s="22"/>
      <c r="QNJ47" s="22"/>
      <c r="QNK47" s="22"/>
      <c r="QNL47" s="22"/>
      <c r="QNM47" s="22"/>
      <c r="QNN47" s="22"/>
      <c r="QNO47" s="22"/>
      <c r="QNP47" s="22"/>
      <c r="QNQ47" s="22"/>
      <c r="QNR47" s="22"/>
      <c r="QNS47" s="22"/>
      <c r="QNT47" s="22"/>
      <c r="QNU47" s="22"/>
      <c r="QNV47" s="22"/>
      <c r="QNW47" s="22"/>
      <c r="QNX47" s="22"/>
      <c r="QNY47" s="22"/>
      <c r="QNZ47" s="22"/>
      <c r="QOA47" s="22"/>
      <c r="QOB47" s="22"/>
      <c r="QOC47" s="22"/>
      <c r="QOD47" s="22"/>
      <c r="QOE47" s="22"/>
      <c r="QOF47" s="22"/>
      <c r="QOG47" s="22"/>
      <c r="QOH47" s="22"/>
      <c r="QOI47" s="22"/>
      <c r="QOJ47" s="22"/>
      <c r="QOK47" s="22"/>
      <c r="QOL47" s="22"/>
      <c r="QOM47" s="22"/>
      <c r="QON47" s="22"/>
      <c r="QOO47" s="22"/>
      <c r="QOP47" s="22"/>
      <c r="QOQ47" s="22"/>
      <c r="QOR47" s="22"/>
      <c r="QOS47" s="22"/>
      <c r="QOT47" s="22"/>
      <c r="QOU47" s="22"/>
      <c r="QOV47" s="22"/>
      <c r="QOW47" s="22"/>
      <c r="QOX47" s="22"/>
      <c r="QOY47" s="22"/>
      <c r="QOZ47" s="22"/>
      <c r="QPA47" s="22"/>
      <c r="QPB47" s="22"/>
      <c r="QPC47" s="22"/>
      <c r="QPD47" s="22"/>
      <c r="QPE47" s="22"/>
      <c r="QPF47" s="22"/>
      <c r="QPG47" s="22"/>
      <c r="QPH47" s="22"/>
      <c r="QPI47" s="22"/>
      <c r="QPJ47" s="22"/>
      <c r="QPK47" s="22"/>
      <c r="QPL47" s="22"/>
      <c r="QPM47" s="22"/>
      <c r="QPN47" s="22"/>
      <c r="QPO47" s="22"/>
      <c r="QPP47" s="22"/>
      <c r="QPQ47" s="22"/>
      <c r="QPR47" s="22"/>
      <c r="QPS47" s="22"/>
      <c r="QPT47" s="22"/>
      <c r="QPU47" s="22"/>
      <c r="QPV47" s="22"/>
      <c r="QPW47" s="22"/>
      <c r="QPX47" s="22"/>
      <c r="QPY47" s="22"/>
      <c r="QPZ47" s="22"/>
      <c r="QQA47" s="22"/>
      <c r="QQB47" s="22"/>
      <c r="QQC47" s="22"/>
      <c r="QQD47" s="22"/>
      <c r="QQE47" s="22"/>
      <c r="QQF47" s="22"/>
      <c r="QQG47" s="22"/>
      <c r="QQH47" s="22"/>
      <c r="QQI47" s="22"/>
      <c r="QQJ47" s="22"/>
      <c r="QQK47" s="22"/>
      <c r="QQL47" s="22"/>
      <c r="QQM47" s="22"/>
      <c r="QQN47" s="22"/>
      <c r="QQO47" s="22"/>
      <c r="QQP47" s="22"/>
      <c r="QQQ47" s="22"/>
      <c r="QQR47" s="22"/>
      <c r="QQS47" s="22"/>
      <c r="QQT47" s="22"/>
      <c r="QQU47" s="22"/>
      <c r="QQV47" s="22"/>
      <c r="QQW47" s="22"/>
      <c r="QQX47" s="22"/>
      <c r="QQY47" s="22"/>
      <c r="QQZ47" s="22"/>
      <c r="QRA47" s="22"/>
      <c r="QRB47" s="22"/>
      <c r="QRC47" s="22"/>
      <c r="QRD47" s="22"/>
      <c r="QRE47" s="22"/>
      <c r="QRF47" s="22"/>
      <c r="QRG47" s="22"/>
      <c r="QRH47" s="22"/>
      <c r="QRI47" s="22"/>
      <c r="QRJ47" s="22"/>
      <c r="QRK47" s="22"/>
      <c r="QRL47" s="22"/>
      <c r="QRM47" s="22"/>
      <c r="QRN47" s="22"/>
      <c r="QRO47" s="22"/>
      <c r="QRP47" s="22"/>
      <c r="QRQ47" s="22"/>
      <c r="QRR47" s="22"/>
      <c r="QRS47" s="22"/>
      <c r="QRT47" s="22"/>
      <c r="QRU47" s="22"/>
      <c r="QRV47" s="22"/>
      <c r="QRW47" s="22"/>
      <c r="QRX47" s="22"/>
      <c r="QRY47" s="22"/>
      <c r="QRZ47" s="22"/>
      <c r="QSA47" s="22"/>
      <c r="QSB47" s="22"/>
      <c r="QSC47" s="22"/>
      <c r="QSD47" s="22"/>
      <c r="QSE47" s="22"/>
      <c r="QSF47" s="22"/>
      <c r="QSG47" s="22"/>
      <c r="QSH47" s="22"/>
      <c r="QSI47" s="22"/>
      <c r="QSJ47" s="22"/>
      <c r="QSK47" s="22"/>
      <c r="QSL47" s="22"/>
      <c r="QSM47" s="22"/>
      <c r="QSN47" s="22"/>
      <c r="QSO47" s="22"/>
      <c r="QSP47" s="22"/>
      <c r="QSQ47" s="22"/>
      <c r="QSR47" s="22"/>
      <c r="QSS47" s="22"/>
      <c r="QST47" s="22"/>
      <c r="QSU47" s="22"/>
      <c r="QSV47" s="22"/>
      <c r="QSW47" s="22"/>
      <c r="QSX47" s="22"/>
      <c r="QSY47" s="22"/>
      <c r="QSZ47" s="22"/>
      <c r="QTA47" s="22"/>
      <c r="QTB47" s="22"/>
      <c r="QTC47" s="22"/>
      <c r="QTD47" s="22"/>
      <c r="QTE47" s="22"/>
      <c r="QTF47" s="22"/>
      <c r="QTG47" s="22"/>
      <c r="QTH47" s="22"/>
      <c r="QTI47" s="22"/>
      <c r="QTJ47" s="22"/>
      <c r="QTK47" s="22"/>
      <c r="QTL47" s="22"/>
      <c r="QTM47" s="22"/>
      <c r="QTN47" s="22"/>
      <c r="QTO47" s="22"/>
      <c r="QTP47" s="22"/>
      <c r="QTQ47" s="22"/>
      <c r="QTR47" s="22"/>
      <c r="QTS47" s="22"/>
      <c r="QTT47" s="22"/>
      <c r="QTU47" s="22"/>
      <c r="QTV47" s="22"/>
      <c r="QTW47" s="22"/>
      <c r="QTX47" s="22"/>
      <c r="QTY47" s="22"/>
      <c r="QTZ47" s="22"/>
      <c r="QUA47" s="22"/>
      <c r="QUB47" s="22"/>
      <c r="QUC47" s="22"/>
      <c r="QUD47" s="22"/>
      <c r="QUE47" s="22"/>
      <c r="QUF47" s="22"/>
      <c r="QUG47" s="22"/>
      <c r="QUH47" s="22"/>
      <c r="QUI47" s="22"/>
      <c r="QUJ47" s="22"/>
      <c r="QUK47" s="22"/>
      <c r="QUL47" s="22"/>
      <c r="QUM47" s="22"/>
      <c r="QUN47" s="22"/>
      <c r="QUO47" s="22"/>
      <c r="QUP47" s="22"/>
      <c r="QUQ47" s="22"/>
      <c r="QUR47" s="22"/>
      <c r="QUS47" s="22"/>
      <c r="QUT47" s="22"/>
      <c r="QUU47" s="22"/>
      <c r="QUV47" s="22"/>
      <c r="QUW47" s="22"/>
      <c r="QUX47" s="22"/>
      <c r="QUY47" s="22"/>
      <c r="QUZ47" s="22"/>
      <c r="QVA47" s="22"/>
      <c r="QVB47" s="22"/>
      <c r="QVC47" s="22"/>
      <c r="QVD47" s="22"/>
      <c r="QVE47" s="22"/>
      <c r="QVF47" s="22"/>
      <c r="QVG47" s="22"/>
      <c r="QVH47" s="22"/>
      <c r="QVI47" s="22"/>
      <c r="QVJ47" s="22"/>
      <c r="QVK47" s="22"/>
      <c r="QVL47" s="22"/>
      <c r="QVM47" s="22"/>
      <c r="QVN47" s="22"/>
      <c r="QVO47" s="22"/>
      <c r="QVP47" s="22"/>
      <c r="QVQ47" s="22"/>
      <c r="QVR47" s="22"/>
      <c r="QVS47" s="22"/>
      <c r="QVT47" s="22"/>
      <c r="QVU47" s="22"/>
      <c r="QVV47" s="22"/>
      <c r="QVW47" s="22"/>
      <c r="QVX47" s="22"/>
      <c r="QVY47" s="22"/>
      <c r="QVZ47" s="22"/>
      <c r="QWA47" s="22"/>
      <c r="QWB47" s="22"/>
      <c r="QWC47" s="22"/>
      <c r="QWD47" s="22"/>
      <c r="QWE47" s="22"/>
      <c r="QWF47" s="22"/>
      <c r="QWG47" s="22"/>
      <c r="QWH47" s="22"/>
      <c r="QWI47" s="22"/>
      <c r="QWJ47" s="22"/>
      <c r="QWK47" s="22"/>
      <c r="QWL47" s="22"/>
      <c r="QWM47" s="22"/>
      <c r="QWN47" s="22"/>
      <c r="QWO47" s="22"/>
      <c r="QWP47" s="22"/>
      <c r="QWQ47" s="22"/>
      <c r="QWR47" s="22"/>
      <c r="QWS47" s="22"/>
      <c r="QWT47" s="22"/>
      <c r="QWU47" s="22"/>
      <c r="QWV47" s="22"/>
      <c r="QWW47" s="22"/>
      <c r="QWX47" s="22"/>
      <c r="QWY47" s="22"/>
      <c r="QWZ47" s="22"/>
      <c r="QXA47" s="22"/>
      <c r="QXB47" s="22"/>
      <c r="QXC47" s="22"/>
      <c r="QXD47" s="22"/>
      <c r="QXE47" s="22"/>
      <c r="QXF47" s="22"/>
      <c r="QXG47" s="22"/>
      <c r="QXH47" s="22"/>
      <c r="QXI47" s="22"/>
      <c r="QXJ47" s="22"/>
      <c r="QXK47" s="22"/>
      <c r="QXL47" s="22"/>
      <c r="QXM47" s="22"/>
      <c r="QXN47" s="22"/>
      <c r="QXO47" s="22"/>
      <c r="QXP47" s="22"/>
      <c r="QXQ47" s="22"/>
      <c r="QXR47" s="22"/>
      <c r="QXS47" s="22"/>
      <c r="QXT47" s="22"/>
      <c r="QXU47" s="22"/>
      <c r="QXV47" s="22"/>
      <c r="QXW47" s="22"/>
      <c r="QXX47" s="22"/>
      <c r="QXY47" s="22"/>
      <c r="QXZ47" s="22"/>
      <c r="QYA47" s="22"/>
      <c r="QYB47" s="22"/>
      <c r="QYC47" s="22"/>
      <c r="QYD47" s="22"/>
      <c r="QYE47" s="22"/>
      <c r="QYF47" s="22"/>
      <c r="QYG47" s="22"/>
      <c r="QYH47" s="22"/>
      <c r="QYI47" s="22"/>
      <c r="QYJ47" s="22"/>
      <c r="QYK47" s="22"/>
      <c r="QYL47" s="22"/>
      <c r="QYM47" s="22"/>
      <c r="QYN47" s="22"/>
      <c r="QYO47" s="22"/>
      <c r="QYP47" s="22"/>
      <c r="QYQ47" s="22"/>
      <c r="QYR47" s="22"/>
      <c r="QYS47" s="22"/>
      <c r="QYT47" s="22"/>
      <c r="QYU47" s="22"/>
      <c r="QYV47" s="22"/>
      <c r="QYW47" s="22"/>
      <c r="QYX47" s="22"/>
      <c r="QYY47" s="22"/>
      <c r="QYZ47" s="22"/>
      <c r="QZA47" s="22"/>
      <c r="QZB47" s="22"/>
      <c r="QZC47" s="22"/>
      <c r="QZD47" s="22"/>
      <c r="QZE47" s="22"/>
      <c r="QZF47" s="22"/>
      <c r="QZG47" s="22"/>
      <c r="QZH47" s="22"/>
      <c r="QZI47" s="22"/>
      <c r="QZJ47" s="22"/>
      <c r="QZK47" s="22"/>
      <c r="QZL47" s="22"/>
      <c r="QZM47" s="22"/>
      <c r="QZN47" s="22"/>
      <c r="QZO47" s="22"/>
      <c r="QZP47" s="22"/>
      <c r="QZQ47" s="22"/>
      <c r="QZR47" s="22"/>
      <c r="QZS47" s="22"/>
      <c r="QZT47" s="22"/>
      <c r="QZU47" s="22"/>
      <c r="QZV47" s="22"/>
      <c r="QZW47" s="22"/>
      <c r="QZX47" s="22"/>
      <c r="QZY47" s="22"/>
      <c r="QZZ47" s="22"/>
      <c r="RAA47" s="22"/>
      <c r="RAB47" s="22"/>
      <c r="RAC47" s="22"/>
      <c r="RAD47" s="22"/>
      <c r="RAE47" s="22"/>
      <c r="RAF47" s="22"/>
      <c r="RAG47" s="22"/>
      <c r="RAH47" s="22"/>
      <c r="RAI47" s="22"/>
      <c r="RAJ47" s="22"/>
      <c r="RAK47" s="22"/>
      <c r="RAL47" s="22"/>
      <c r="RAM47" s="22"/>
      <c r="RAN47" s="22"/>
      <c r="RAO47" s="22"/>
      <c r="RAP47" s="22"/>
      <c r="RAQ47" s="22"/>
      <c r="RAR47" s="22"/>
      <c r="RAS47" s="22"/>
      <c r="RAT47" s="22"/>
      <c r="RAU47" s="22"/>
      <c r="RAV47" s="22"/>
      <c r="RAW47" s="22"/>
      <c r="RAX47" s="22"/>
      <c r="RAY47" s="22"/>
      <c r="RAZ47" s="22"/>
      <c r="RBA47" s="22"/>
      <c r="RBB47" s="22"/>
      <c r="RBC47" s="22"/>
      <c r="RBD47" s="22"/>
      <c r="RBE47" s="22"/>
      <c r="RBF47" s="22"/>
      <c r="RBG47" s="22"/>
      <c r="RBH47" s="22"/>
      <c r="RBI47" s="22"/>
      <c r="RBJ47" s="22"/>
      <c r="RBK47" s="22"/>
      <c r="RBL47" s="22"/>
      <c r="RBM47" s="22"/>
      <c r="RBN47" s="22"/>
      <c r="RBO47" s="22"/>
      <c r="RBP47" s="22"/>
      <c r="RBQ47" s="22"/>
      <c r="RBR47" s="22"/>
      <c r="RBS47" s="22"/>
      <c r="RBT47" s="22"/>
      <c r="RBU47" s="22"/>
      <c r="RBV47" s="22"/>
      <c r="RBW47" s="22"/>
      <c r="RBX47" s="22"/>
      <c r="RBY47" s="22"/>
      <c r="RBZ47" s="22"/>
      <c r="RCA47" s="22"/>
      <c r="RCB47" s="22"/>
      <c r="RCC47" s="22"/>
      <c r="RCD47" s="22"/>
      <c r="RCE47" s="22"/>
      <c r="RCF47" s="22"/>
      <c r="RCG47" s="22"/>
      <c r="RCH47" s="22"/>
      <c r="RCI47" s="22"/>
      <c r="RCJ47" s="22"/>
      <c r="RCK47" s="22"/>
      <c r="RCL47" s="22"/>
      <c r="RCM47" s="22"/>
      <c r="RCN47" s="22"/>
      <c r="RCO47" s="22"/>
      <c r="RCP47" s="22"/>
      <c r="RCQ47" s="22"/>
      <c r="RCR47" s="22"/>
      <c r="RCS47" s="22"/>
      <c r="RCT47" s="22"/>
      <c r="RCU47" s="22"/>
      <c r="RCV47" s="22"/>
      <c r="RCW47" s="22"/>
      <c r="RCX47" s="22"/>
      <c r="RCY47" s="22"/>
      <c r="RCZ47" s="22"/>
      <c r="RDA47" s="22"/>
      <c r="RDB47" s="22"/>
      <c r="RDC47" s="22"/>
      <c r="RDD47" s="22"/>
      <c r="RDE47" s="22"/>
      <c r="RDF47" s="22"/>
      <c r="RDG47" s="22"/>
      <c r="RDH47" s="22"/>
      <c r="RDI47" s="22"/>
      <c r="RDJ47" s="22"/>
      <c r="RDK47" s="22"/>
      <c r="RDL47" s="22"/>
      <c r="RDM47" s="22"/>
      <c r="RDN47" s="22"/>
      <c r="RDO47" s="22"/>
      <c r="RDP47" s="22"/>
      <c r="RDQ47" s="22"/>
      <c r="RDR47" s="22"/>
      <c r="RDS47" s="22"/>
      <c r="RDT47" s="22"/>
      <c r="RDU47" s="22"/>
      <c r="RDV47" s="22"/>
      <c r="RDW47" s="22"/>
      <c r="RDX47" s="22"/>
      <c r="RDY47" s="22"/>
      <c r="RDZ47" s="22"/>
      <c r="REA47" s="22"/>
      <c r="REB47" s="22"/>
      <c r="REC47" s="22"/>
      <c r="RED47" s="22"/>
      <c r="REE47" s="22"/>
      <c r="REF47" s="22"/>
      <c r="REG47" s="22"/>
      <c r="REH47" s="22"/>
      <c r="REI47" s="22"/>
      <c r="REJ47" s="22"/>
      <c r="REK47" s="22"/>
      <c r="REL47" s="22"/>
      <c r="REM47" s="22"/>
      <c r="REN47" s="22"/>
      <c r="REO47" s="22"/>
      <c r="REP47" s="22"/>
      <c r="REQ47" s="22"/>
      <c r="RER47" s="22"/>
      <c r="RES47" s="22"/>
      <c r="RET47" s="22"/>
      <c r="REU47" s="22"/>
      <c r="REV47" s="22"/>
      <c r="REW47" s="22"/>
      <c r="REX47" s="22"/>
      <c r="REY47" s="22"/>
      <c r="REZ47" s="22"/>
      <c r="RFA47" s="22"/>
      <c r="RFB47" s="22"/>
      <c r="RFC47" s="22"/>
      <c r="RFD47" s="22"/>
      <c r="RFE47" s="22"/>
      <c r="RFF47" s="22"/>
      <c r="RFG47" s="22"/>
      <c r="RFH47" s="22"/>
      <c r="RFI47" s="22"/>
      <c r="RFJ47" s="22"/>
      <c r="RFK47" s="22"/>
      <c r="RFL47" s="22"/>
      <c r="RFM47" s="22"/>
      <c r="RFN47" s="22"/>
      <c r="RFO47" s="22"/>
      <c r="RFP47" s="22"/>
      <c r="RFQ47" s="22"/>
      <c r="RFR47" s="22"/>
      <c r="RFS47" s="22"/>
      <c r="RFT47" s="22"/>
      <c r="RFU47" s="22"/>
      <c r="RFV47" s="22"/>
      <c r="RFW47" s="22"/>
      <c r="RFX47" s="22"/>
      <c r="RFY47" s="22"/>
      <c r="RFZ47" s="22"/>
      <c r="RGA47" s="22"/>
      <c r="RGB47" s="22"/>
      <c r="RGC47" s="22"/>
      <c r="RGD47" s="22"/>
      <c r="RGE47" s="22"/>
      <c r="RGF47" s="22"/>
      <c r="RGG47" s="22"/>
      <c r="RGH47" s="22"/>
      <c r="RGI47" s="22"/>
      <c r="RGJ47" s="22"/>
      <c r="RGK47" s="22"/>
      <c r="RGL47" s="22"/>
      <c r="RGM47" s="22"/>
      <c r="RGN47" s="22"/>
      <c r="RGO47" s="22"/>
      <c r="RGP47" s="22"/>
      <c r="RGQ47" s="22"/>
      <c r="RGR47" s="22"/>
      <c r="RGS47" s="22"/>
      <c r="RGT47" s="22"/>
      <c r="RGU47" s="22"/>
      <c r="RGV47" s="22"/>
      <c r="RGW47" s="22"/>
      <c r="RGX47" s="22"/>
      <c r="RGY47" s="22"/>
      <c r="RGZ47" s="22"/>
      <c r="RHA47" s="22"/>
      <c r="RHB47" s="22"/>
      <c r="RHC47" s="22"/>
      <c r="RHD47" s="22"/>
      <c r="RHE47" s="22"/>
      <c r="RHF47" s="22"/>
      <c r="RHG47" s="22"/>
      <c r="RHH47" s="22"/>
      <c r="RHI47" s="22"/>
      <c r="RHJ47" s="22"/>
      <c r="RHK47" s="22"/>
      <c r="RHL47" s="22"/>
      <c r="RHM47" s="22"/>
      <c r="RHN47" s="22"/>
      <c r="RHO47" s="22"/>
      <c r="RHP47" s="22"/>
      <c r="RHQ47" s="22"/>
      <c r="RHR47" s="22"/>
      <c r="RHS47" s="22"/>
      <c r="RHT47" s="22"/>
      <c r="RHU47" s="22"/>
      <c r="RHV47" s="22"/>
      <c r="RHW47" s="22"/>
      <c r="RHX47" s="22"/>
      <c r="RHY47" s="22"/>
      <c r="RHZ47" s="22"/>
      <c r="RIA47" s="22"/>
      <c r="RIB47" s="22"/>
      <c r="RIC47" s="22"/>
      <c r="RID47" s="22"/>
      <c r="RIE47" s="22"/>
      <c r="RIF47" s="22"/>
      <c r="RIG47" s="22"/>
      <c r="RIH47" s="22"/>
      <c r="RII47" s="22"/>
      <c r="RIJ47" s="22"/>
      <c r="RIK47" s="22"/>
      <c r="RIL47" s="22"/>
      <c r="RIM47" s="22"/>
      <c r="RIN47" s="22"/>
      <c r="RIO47" s="22"/>
      <c r="RIP47" s="22"/>
      <c r="RIQ47" s="22"/>
      <c r="RIR47" s="22"/>
      <c r="RIS47" s="22"/>
      <c r="RIT47" s="22"/>
      <c r="RIU47" s="22"/>
      <c r="RIV47" s="22"/>
      <c r="RIW47" s="22"/>
      <c r="RIX47" s="22"/>
      <c r="RIY47" s="22"/>
      <c r="RIZ47" s="22"/>
      <c r="RJA47" s="22"/>
      <c r="RJB47" s="22"/>
      <c r="RJC47" s="22"/>
      <c r="RJD47" s="22"/>
      <c r="RJE47" s="22"/>
      <c r="RJF47" s="22"/>
      <c r="RJG47" s="22"/>
      <c r="RJH47" s="22"/>
      <c r="RJI47" s="22"/>
      <c r="RJJ47" s="22"/>
      <c r="RJK47" s="22"/>
      <c r="RJL47" s="22"/>
      <c r="RJM47" s="22"/>
      <c r="RJN47" s="22"/>
      <c r="RJO47" s="22"/>
      <c r="RJP47" s="22"/>
      <c r="RJQ47" s="22"/>
      <c r="RJR47" s="22"/>
      <c r="RJS47" s="22"/>
      <c r="RJT47" s="22"/>
      <c r="RJU47" s="22"/>
      <c r="RJV47" s="22"/>
      <c r="RJW47" s="22"/>
      <c r="RJX47" s="22"/>
      <c r="RJY47" s="22"/>
      <c r="RJZ47" s="22"/>
      <c r="RKA47" s="22"/>
      <c r="RKB47" s="22"/>
      <c r="RKC47" s="22"/>
      <c r="RKD47" s="22"/>
      <c r="RKE47" s="22"/>
      <c r="RKF47" s="22"/>
      <c r="RKG47" s="22"/>
      <c r="RKH47" s="22"/>
      <c r="RKI47" s="22"/>
      <c r="RKJ47" s="22"/>
      <c r="RKK47" s="22"/>
      <c r="RKL47" s="22"/>
      <c r="RKM47" s="22"/>
      <c r="RKN47" s="22"/>
      <c r="RKO47" s="22"/>
      <c r="RKP47" s="22"/>
      <c r="RKQ47" s="22"/>
      <c r="RKR47" s="22"/>
      <c r="RKS47" s="22"/>
      <c r="RKT47" s="22"/>
      <c r="RKU47" s="22"/>
      <c r="RKV47" s="22"/>
      <c r="RKW47" s="22"/>
      <c r="RKX47" s="22"/>
      <c r="RKY47" s="22"/>
      <c r="RKZ47" s="22"/>
      <c r="RLA47" s="22"/>
      <c r="RLB47" s="22"/>
      <c r="RLC47" s="22"/>
      <c r="RLD47" s="22"/>
      <c r="RLE47" s="22"/>
      <c r="RLF47" s="22"/>
      <c r="RLG47" s="22"/>
      <c r="RLH47" s="22"/>
      <c r="RLI47" s="22"/>
      <c r="RLJ47" s="22"/>
      <c r="RLK47" s="22"/>
      <c r="RLL47" s="22"/>
      <c r="RLM47" s="22"/>
      <c r="RLN47" s="22"/>
      <c r="RLO47" s="22"/>
      <c r="RLP47" s="22"/>
      <c r="RLQ47" s="22"/>
      <c r="RLR47" s="22"/>
      <c r="RLS47" s="22"/>
      <c r="RLT47" s="22"/>
      <c r="RLU47" s="22"/>
      <c r="RLV47" s="22"/>
      <c r="RLW47" s="22"/>
      <c r="RLX47" s="22"/>
      <c r="RLY47" s="22"/>
      <c r="RLZ47" s="22"/>
      <c r="RMA47" s="22"/>
      <c r="RMB47" s="22"/>
      <c r="RMC47" s="22"/>
      <c r="RMD47" s="22"/>
      <c r="RME47" s="22"/>
      <c r="RMF47" s="22"/>
      <c r="RMG47" s="22"/>
      <c r="RMH47" s="22"/>
      <c r="RMI47" s="22"/>
      <c r="RMJ47" s="22"/>
      <c r="RMK47" s="22"/>
      <c r="RML47" s="22"/>
      <c r="RMM47" s="22"/>
      <c r="RMN47" s="22"/>
      <c r="RMO47" s="22"/>
      <c r="RMP47" s="22"/>
      <c r="RMQ47" s="22"/>
      <c r="RMR47" s="22"/>
      <c r="RMS47" s="22"/>
      <c r="RMT47" s="22"/>
      <c r="RMU47" s="22"/>
      <c r="RMV47" s="22"/>
      <c r="RMW47" s="22"/>
      <c r="RMX47" s="22"/>
      <c r="RMY47" s="22"/>
      <c r="RMZ47" s="22"/>
      <c r="RNA47" s="22"/>
      <c r="RNB47" s="22"/>
      <c r="RNC47" s="22"/>
      <c r="RND47" s="22"/>
      <c r="RNE47" s="22"/>
      <c r="RNF47" s="22"/>
      <c r="RNG47" s="22"/>
      <c r="RNH47" s="22"/>
      <c r="RNI47" s="22"/>
      <c r="RNJ47" s="22"/>
      <c r="RNK47" s="22"/>
      <c r="RNL47" s="22"/>
      <c r="RNM47" s="22"/>
      <c r="RNN47" s="22"/>
      <c r="RNO47" s="22"/>
      <c r="RNP47" s="22"/>
      <c r="RNQ47" s="22"/>
      <c r="RNR47" s="22"/>
      <c r="RNS47" s="22"/>
      <c r="RNT47" s="22"/>
      <c r="RNU47" s="22"/>
      <c r="RNV47" s="22"/>
      <c r="RNW47" s="22"/>
      <c r="RNX47" s="22"/>
      <c r="RNY47" s="22"/>
      <c r="RNZ47" s="22"/>
      <c r="ROA47" s="22"/>
      <c r="ROB47" s="22"/>
      <c r="ROC47" s="22"/>
      <c r="ROD47" s="22"/>
      <c r="ROE47" s="22"/>
      <c r="ROF47" s="22"/>
      <c r="ROG47" s="22"/>
      <c r="ROH47" s="22"/>
      <c r="ROI47" s="22"/>
      <c r="ROJ47" s="22"/>
      <c r="ROK47" s="22"/>
      <c r="ROL47" s="22"/>
      <c r="ROM47" s="22"/>
      <c r="RON47" s="22"/>
      <c r="ROO47" s="22"/>
      <c r="ROP47" s="22"/>
      <c r="ROQ47" s="22"/>
      <c r="ROR47" s="22"/>
      <c r="ROS47" s="22"/>
      <c r="ROT47" s="22"/>
      <c r="ROU47" s="22"/>
      <c r="ROV47" s="22"/>
      <c r="ROW47" s="22"/>
      <c r="ROX47" s="22"/>
      <c r="ROY47" s="22"/>
      <c r="ROZ47" s="22"/>
      <c r="RPA47" s="22"/>
      <c r="RPB47" s="22"/>
      <c r="RPC47" s="22"/>
      <c r="RPD47" s="22"/>
      <c r="RPE47" s="22"/>
      <c r="RPF47" s="22"/>
      <c r="RPG47" s="22"/>
      <c r="RPH47" s="22"/>
      <c r="RPI47" s="22"/>
      <c r="RPJ47" s="22"/>
      <c r="RPK47" s="22"/>
      <c r="RPL47" s="22"/>
      <c r="RPM47" s="22"/>
      <c r="RPN47" s="22"/>
      <c r="RPO47" s="22"/>
      <c r="RPP47" s="22"/>
      <c r="RPQ47" s="22"/>
      <c r="RPR47" s="22"/>
      <c r="RPS47" s="22"/>
      <c r="RPT47" s="22"/>
      <c r="RPU47" s="22"/>
      <c r="RPV47" s="22"/>
      <c r="RPW47" s="22"/>
      <c r="RPX47" s="22"/>
      <c r="RPY47" s="22"/>
      <c r="RPZ47" s="22"/>
      <c r="RQA47" s="22"/>
      <c r="RQB47" s="22"/>
      <c r="RQC47" s="22"/>
      <c r="RQD47" s="22"/>
      <c r="RQE47" s="22"/>
      <c r="RQF47" s="22"/>
      <c r="RQG47" s="22"/>
      <c r="RQH47" s="22"/>
      <c r="RQI47" s="22"/>
      <c r="RQJ47" s="22"/>
      <c r="RQK47" s="22"/>
      <c r="RQL47" s="22"/>
      <c r="RQM47" s="22"/>
      <c r="RQN47" s="22"/>
      <c r="RQO47" s="22"/>
      <c r="RQP47" s="22"/>
      <c r="RQQ47" s="22"/>
      <c r="RQR47" s="22"/>
      <c r="RQS47" s="22"/>
      <c r="RQT47" s="22"/>
      <c r="RQU47" s="22"/>
      <c r="RQV47" s="22"/>
      <c r="RQW47" s="22"/>
      <c r="RQX47" s="22"/>
      <c r="RQY47" s="22"/>
      <c r="RQZ47" s="22"/>
      <c r="RRA47" s="22"/>
      <c r="RRB47" s="22"/>
      <c r="RRC47" s="22"/>
      <c r="RRD47" s="22"/>
      <c r="RRE47" s="22"/>
      <c r="RRF47" s="22"/>
      <c r="RRG47" s="22"/>
      <c r="RRH47" s="22"/>
      <c r="RRI47" s="22"/>
      <c r="RRJ47" s="22"/>
      <c r="RRK47" s="22"/>
      <c r="RRL47" s="22"/>
      <c r="RRM47" s="22"/>
      <c r="RRN47" s="22"/>
      <c r="RRO47" s="22"/>
      <c r="RRP47" s="22"/>
      <c r="RRQ47" s="22"/>
      <c r="RRR47" s="22"/>
      <c r="RRS47" s="22"/>
      <c r="RRT47" s="22"/>
      <c r="RRU47" s="22"/>
      <c r="RRV47" s="22"/>
      <c r="RRW47" s="22"/>
      <c r="RRX47" s="22"/>
      <c r="RRY47" s="22"/>
      <c r="RRZ47" s="22"/>
      <c r="RSA47" s="22"/>
      <c r="RSB47" s="22"/>
      <c r="RSC47" s="22"/>
      <c r="RSD47" s="22"/>
      <c r="RSE47" s="22"/>
      <c r="RSF47" s="22"/>
      <c r="RSG47" s="22"/>
      <c r="RSH47" s="22"/>
      <c r="RSI47" s="22"/>
      <c r="RSJ47" s="22"/>
      <c r="RSK47" s="22"/>
      <c r="RSL47" s="22"/>
      <c r="RSM47" s="22"/>
      <c r="RSN47" s="22"/>
      <c r="RSO47" s="22"/>
      <c r="RSP47" s="22"/>
      <c r="RSQ47" s="22"/>
      <c r="RSR47" s="22"/>
      <c r="RSS47" s="22"/>
      <c r="RST47" s="22"/>
      <c r="RSU47" s="22"/>
      <c r="RSV47" s="22"/>
      <c r="RSW47" s="22"/>
      <c r="RSX47" s="22"/>
      <c r="RSY47" s="22"/>
      <c r="RSZ47" s="22"/>
      <c r="RTA47" s="22"/>
      <c r="RTB47" s="22"/>
      <c r="RTC47" s="22"/>
      <c r="RTD47" s="22"/>
      <c r="RTE47" s="22"/>
      <c r="RTF47" s="22"/>
      <c r="RTG47" s="22"/>
      <c r="RTH47" s="22"/>
      <c r="RTI47" s="22"/>
      <c r="RTJ47" s="22"/>
      <c r="RTK47" s="22"/>
      <c r="RTL47" s="22"/>
      <c r="RTM47" s="22"/>
      <c r="RTN47" s="22"/>
      <c r="RTO47" s="22"/>
      <c r="RTP47" s="22"/>
      <c r="RTQ47" s="22"/>
      <c r="RTR47" s="22"/>
      <c r="RTS47" s="22"/>
      <c r="RTT47" s="22"/>
      <c r="RTU47" s="22"/>
      <c r="RTV47" s="22"/>
      <c r="RTW47" s="22"/>
      <c r="RTX47" s="22"/>
      <c r="RTY47" s="22"/>
      <c r="RTZ47" s="22"/>
      <c r="RUA47" s="22"/>
      <c r="RUB47" s="22"/>
      <c r="RUC47" s="22"/>
      <c r="RUD47" s="22"/>
      <c r="RUE47" s="22"/>
      <c r="RUF47" s="22"/>
      <c r="RUG47" s="22"/>
      <c r="RUH47" s="22"/>
      <c r="RUI47" s="22"/>
      <c r="RUJ47" s="22"/>
      <c r="RUK47" s="22"/>
      <c r="RUL47" s="22"/>
      <c r="RUM47" s="22"/>
      <c r="RUN47" s="22"/>
      <c r="RUO47" s="22"/>
      <c r="RUP47" s="22"/>
      <c r="RUQ47" s="22"/>
      <c r="RUR47" s="22"/>
      <c r="RUS47" s="22"/>
      <c r="RUT47" s="22"/>
      <c r="RUU47" s="22"/>
      <c r="RUV47" s="22"/>
      <c r="RUW47" s="22"/>
      <c r="RUX47" s="22"/>
      <c r="RUY47" s="22"/>
      <c r="RUZ47" s="22"/>
      <c r="RVA47" s="22"/>
      <c r="RVB47" s="22"/>
      <c r="RVC47" s="22"/>
      <c r="RVD47" s="22"/>
      <c r="RVE47" s="22"/>
      <c r="RVF47" s="22"/>
      <c r="RVG47" s="22"/>
      <c r="RVH47" s="22"/>
      <c r="RVI47" s="22"/>
      <c r="RVJ47" s="22"/>
      <c r="RVK47" s="22"/>
      <c r="RVL47" s="22"/>
      <c r="RVM47" s="22"/>
      <c r="RVN47" s="22"/>
      <c r="RVO47" s="22"/>
      <c r="RVP47" s="22"/>
      <c r="RVQ47" s="22"/>
      <c r="RVR47" s="22"/>
      <c r="RVS47" s="22"/>
      <c r="RVT47" s="22"/>
      <c r="RVU47" s="22"/>
      <c r="RVV47" s="22"/>
      <c r="RVW47" s="22"/>
      <c r="RVX47" s="22"/>
      <c r="RVY47" s="22"/>
      <c r="RVZ47" s="22"/>
      <c r="RWA47" s="22"/>
      <c r="RWB47" s="22"/>
      <c r="RWC47" s="22"/>
      <c r="RWD47" s="22"/>
      <c r="RWE47" s="22"/>
      <c r="RWF47" s="22"/>
      <c r="RWG47" s="22"/>
      <c r="RWH47" s="22"/>
      <c r="RWI47" s="22"/>
      <c r="RWJ47" s="22"/>
      <c r="RWK47" s="22"/>
      <c r="RWL47" s="22"/>
      <c r="RWM47" s="22"/>
      <c r="RWN47" s="22"/>
      <c r="RWO47" s="22"/>
      <c r="RWP47" s="22"/>
      <c r="RWQ47" s="22"/>
      <c r="RWR47" s="22"/>
      <c r="RWS47" s="22"/>
      <c r="RWT47" s="22"/>
      <c r="RWU47" s="22"/>
      <c r="RWV47" s="22"/>
      <c r="RWW47" s="22"/>
      <c r="RWX47" s="22"/>
      <c r="RWY47" s="22"/>
      <c r="RWZ47" s="22"/>
      <c r="RXA47" s="22"/>
      <c r="RXB47" s="22"/>
      <c r="RXC47" s="22"/>
      <c r="RXD47" s="22"/>
      <c r="RXE47" s="22"/>
      <c r="RXF47" s="22"/>
      <c r="RXG47" s="22"/>
      <c r="RXH47" s="22"/>
      <c r="RXI47" s="22"/>
      <c r="RXJ47" s="22"/>
      <c r="RXK47" s="22"/>
      <c r="RXL47" s="22"/>
      <c r="RXM47" s="22"/>
      <c r="RXN47" s="22"/>
      <c r="RXO47" s="22"/>
      <c r="RXP47" s="22"/>
      <c r="RXQ47" s="22"/>
      <c r="RXR47" s="22"/>
      <c r="RXS47" s="22"/>
      <c r="RXT47" s="22"/>
      <c r="RXU47" s="22"/>
      <c r="RXV47" s="22"/>
      <c r="RXW47" s="22"/>
      <c r="RXX47" s="22"/>
      <c r="RXY47" s="22"/>
      <c r="RXZ47" s="22"/>
      <c r="RYA47" s="22"/>
      <c r="RYB47" s="22"/>
      <c r="RYC47" s="22"/>
      <c r="RYD47" s="22"/>
      <c r="RYE47" s="22"/>
      <c r="RYF47" s="22"/>
      <c r="RYG47" s="22"/>
      <c r="RYH47" s="22"/>
      <c r="RYI47" s="22"/>
      <c r="RYJ47" s="22"/>
      <c r="RYK47" s="22"/>
      <c r="RYL47" s="22"/>
      <c r="RYM47" s="22"/>
      <c r="RYN47" s="22"/>
      <c r="RYO47" s="22"/>
      <c r="RYP47" s="22"/>
      <c r="RYQ47" s="22"/>
      <c r="RYR47" s="22"/>
      <c r="RYS47" s="22"/>
      <c r="RYT47" s="22"/>
      <c r="RYU47" s="22"/>
      <c r="RYV47" s="22"/>
      <c r="RYW47" s="22"/>
      <c r="RYX47" s="22"/>
      <c r="RYY47" s="22"/>
      <c r="RYZ47" s="22"/>
      <c r="RZA47" s="22"/>
      <c r="RZB47" s="22"/>
      <c r="RZC47" s="22"/>
      <c r="RZD47" s="22"/>
      <c r="RZE47" s="22"/>
      <c r="RZF47" s="22"/>
      <c r="RZG47" s="22"/>
      <c r="RZH47" s="22"/>
      <c r="RZI47" s="22"/>
      <c r="RZJ47" s="22"/>
      <c r="RZK47" s="22"/>
      <c r="RZL47" s="22"/>
      <c r="RZM47" s="22"/>
      <c r="RZN47" s="22"/>
      <c r="RZO47" s="22"/>
      <c r="RZP47" s="22"/>
      <c r="RZQ47" s="22"/>
      <c r="RZR47" s="22"/>
      <c r="RZS47" s="22"/>
      <c r="RZT47" s="22"/>
      <c r="RZU47" s="22"/>
      <c r="RZV47" s="22"/>
      <c r="RZW47" s="22"/>
      <c r="RZX47" s="22"/>
      <c r="RZY47" s="22"/>
      <c r="RZZ47" s="22"/>
      <c r="SAA47" s="22"/>
      <c r="SAB47" s="22"/>
      <c r="SAC47" s="22"/>
      <c r="SAD47" s="22"/>
      <c r="SAE47" s="22"/>
      <c r="SAF47" s="22"/>
      <c r="SAG47" s="22"/>
      <c r="SAH47" s="22"/>
      <c r="SAI47" s="22"/>
      <c r="SAJ47" s="22"/>
      <c r="SAK47" s="22"/>
      <c r="SAL47" s="22"/>
      <c r="SAM47" s="22"/>
      <c r="SAN47" s="22"/>
      <c r="SAO47" s="22"/>
      <c r="SAP47" s="22"/>
      <c r="SAQ47" s="22"/>
      <c r="SAR47" s="22"/>
      <c r="SAS47" s="22"/>
      <c r="SAT47" s="22"/>
      <c r="SAU47" s="22"/>
      <c r="SAV47" s="22"/>
      <c r="SAW47" s="22"/>
      <c r="SAX47" s="22"/>
      <c r="SAY47" s="22"/>
      <c r="SAZ47" s="22"/>
      <c r="SBA47" s="22"/>
      <c r="SBB47" s="22"/>
      <c r="SBC47" s="22"/>
      <c r="SBD47" s="22"/>
      <c r="SBE47" s="22"/>
      <c r="SBF47" s="22"/>
      <c r="SBG47" s="22"/>
      <c r="SBH47" s="22"/>
      <c r="SBI47" s="22"/>
      <c r="SBJ47" s="22"/>
      <c r="SBK47" s="22"/>
      <c r="SBL47" s="22"/>
      <c r="SBM47" s="22"/>
      <c r="SBN47" s="22"/>
      <c r="SBO47" s="22"/>
      <c r="SBP47" s="22"/>
      <c r="SBQ47" s="22"/>
      <c r="SBR47" s="22"/>
      <c r="SBS47" s="22"/>
      <c r="SBT47" s="22"/>
      <c r="SBU47" s="22"/>
      <c r="SBV47" s="22"/>
      <c r="SBW47" s="22"/>
      <c r="SBX47" s="22"/>
      <c r="SBY47" s="22"/>
      <c r="SBZ47" s="22"/>
      <c r="SCA47" s="22"/>
      <c r="SCB47" s="22"/>
      <c r="SCC47" s="22"/>
      <c r="SCD47" s="22"/>
      <c r="SCE47" s="22"/>
      <c r="SCF47" s="22"/>
      <c r="SCG47" s="22"/>
      <c r="SCH47" s="22"/>
      <c r="SCI47" s="22"/>
      <c r="SCJ47" s="22"/>
      <c r="SCK47" s="22"/>
      <c r="SCL47" s="22"/>
      <c r="SCM47" s="22"/>
      <c r="SCN47" s="22"/>
      <c r="SCO47" s="22"/>
      <c r="SCP47" s="22"/>
      <c r="SCQ47" s="22"/>
      <c r="SCR47" s="22"/>
      <c r="SCS47" s="22"/>
      <c r="SCT47" s="22"/>
      <c r="SCU47" s="22"/>
      <c r="SCV47" s="22"/>
      <c r="SCW47" s="22"/>
      <c r="SCX47" s="22"/>
      <c r="SCY47" s="22"/>
      <c r="SCZ47" s="22"/>
      <c r="SDA47" s="22"/>
      <c r="SDB47" s="22"/>
      <c r="SDC47" s="22"/>
      <c r="SDD47" s="22"/>
      <c r="SDE47" s="22"/>
      <c r="SDF47" s="22"/>
      <c r="SDG47" s="22"/>
      <c r="SDH47" s="22"/>
      <c r="SDI47" s="22"/>
      <c r="SDJ47" s="22"/>
      <c r="SDK47" s="22"/>
      <c r="SDL47" s="22"/>
      <c r="SDM47" s="22"/>
      <c r="SDN47" s="22"/>
      <c r="SDO47" s="22"/>
      <c r="SDP47" s="22"/>
      <c r="SDQ47" s="22"/>
      <c r="SDR47" s="22"/>
      <c r="SDS47" s="22"/>
      <c r="SDT47" s="22"/>
      <c r="SDU47" s="22"/>
      <c r="SDV47" s="22"/>
      <c r="SDW47" s="22"/>
      <c r="SDX47" s="22"/>
      <c r="SDY47" s="22"/>
      <c r="SDZ47" s="22"/>
      <c r="SEA47" s="22"/>
      <c r="SEB47" s="22"/>
      <c r="SEC47" s="22"/>
      <c r="SED47" s="22"/>
      <c r="SEE47" s="22"/>
      <c r="SEF47" s="22"/>
      <c r="SEG47" s="22"/>
      <c r="SEH47" s="22"/>
      <c r="SEI47" s="22"/>
      <c r="SEJ47" s="22"/>
      <c r="SEK47" s="22"/>
      <c r="SEL47" s="22"/>
      <c r="SEM47" s="22"/>
      <c r="SEN47" s="22"/>
      <c r="SEO47" s="22"/>
      <c r="SEP47" s="22"/>
      <c r="SEQ47" s="22"/>
      <c r="SER47" s="22"/>
      <c r="SES47" s="22"/>
      <c r="SET47" s="22"/>
      <c r="SEU47" s="22"/>
      <c r="SEV47" s="22"/>
      <c r="SEW47" s="22"/>
      <c r="SEX47" s="22"/>
      <c r="SEY47" s="22"/>
      <c r="SEZ47" s="22"/>
      <c r="SFA47" s="22"/>
      <c r="SFB47" s="22"/>
      <c r="SFC47" s="22"/>
      <c r="SFD47" s="22"/>
      <c r="SFE47" s="22"/>
      <c r="SFF47" s="22"/>
      <c r="SFG47" s="22"/>
      <c r="SFH47" s="22"/>
      <c r="SFI47" s="22"/>
      <c r="SFJ47" s="22"/>
      <c r="SFK47" s="22"/>
      <c r="SFL47" s="22"/>
      <c r="SFM47" s="22"/>
      <c r="SFN47" s="22"/>
      <c r="SFO47" s="22"/>
      <c r="SFP47" s="22"/>
      <c r="SFQ47" s="22"/>
      <c r="SFR47" s="22"/>
      <c r="SFS47" s="22"/>
      <c r="SFT47" s="22"/>
      <c r="SFU47" s="22"/>
      <c r="SFV47" s="22"/>
      <c r="SFW47" s="22"/>
      <c r="SFX47" s="22"/>
      <c r="SFY47" s="22"/>
      <c r="SFZ47" s="22"/>
      <c r="SGA47" s="22"/>
      <c r="SGB47" s="22"/>
      <c r="SGC47" s="22"/>
      <c r="SGD47" s="22"/>
      <c r="SGE47" s="22"/>
      <c r="SGF47" s="22"/>
      <c r="SGG47" s="22"/>
      <c r="SGH47" s="22"/>
      <c r="SGI47" s="22"/>
      <c r="SGJ47" s="22"/>
      <c r="SGK47" s="22"/>
      <c r="SGL47" s="22"/>
      <c r="SGM47" s="22"/>
      <c r="SGN47" s="22"/>
      <c r="SGO47" s="22"/>
      <c r="SGP47" s="22"/>
      <c r="SGQ47" s="22"/>
      <c r="SGR47" s="22"/>
      <c r="SGS47" s="22"/>
      <c r="SGT47" s="22"/>
      <c r="SGU47" s="22"/>
      <c r="SGV47" s="22"/>
      <c r="SGW47" s="22"/>
      <c r="SGX47" s="22"/>
      <c r="SGY47" s="22"/>
      <c r="SGZ47" s="22"/>
      <c r="SHA47" s="22"/>
      <c r="SHB47" s="22"/>
      <c r="SHC47" s="22"/>
      <c r="SHD47" s="22"/>
      <c r="SHE47" s="22"/>
      <c r="SHF47" s="22"/>
      <c r="SHG47" s="22"/>
      <c r="SHH47" s="22"/>
      <c r="SHI47" s="22"/>
      <c r="SHJ47" s="22"/>
      <c r="SHK47" s="22"/>
      <c r="SHL47" s="22"/>
      <c r="SHM47" s="22"/>
      <c r="SHN47" s="22"/>
      <c r="SHO47" s="22"/>
      <c r="SHP47" s="22"/>
      <c r="SHQ47" s="22"/>
      <c r="SHR47" s="22"/>
      <c r="SHS47" s="22"/>
      <c r="SHT47" s="22"/>
      <c r="SHU47" s="22"/>
      <c r="SHV47" s="22"/>
      <c r="SHW47" s="22"/>
      <c r="SHX47" s="22"/>
      <c r="SHY47" s="22"/>
      <c r="SHZ47" s="22"/>
      <c r="SIA47" s="22"/>
      <c r="SIB47" s="22"/>
      <c r="SIC47" s="22"/>
      <c r="SID47" s="22"/>
      <c r="SIE47" s="22"/>
      <c r="SIF47" s="22"/>
      <c r="SIG47" s="22"/>
      <c r="SIH47" s="22"/>
      <c r="SII47" s="22"/>
      <c r="SIJ47" s="22"/>
      <c r="SIK47" s="22"/>
      <c r="SIL47" s="22"/>
      <c r="SIM47" s="22"/>
      <c r="SIN47" s="22"/>
      <c r="SIO47" s="22"/>
      <c r="SIP47" s="22"/>
      <c r="SIQ47" s="22"/>
      <c r="SIR47" s="22"/>
      <c r="SIS47" s="22"/>
      <c r="SIT47" s="22"/>
      <c r="SIU47" s="22"/>
      <c r="SIV47" s="22"/>
      <c r="SIW47" s="22"/>
      <c r="SIX47" s="22"/>
      <c r="SIY47" s="22"/>
      <c r="SIZ47" s="22"/>
      <c r="SJA47" s="22"/>
      <c r="SJB47" s="22"/>
      <c r="SJC47" s="22"/>
      <c r="SJD47" s="22"/>
      <c r="SJE47" s="22"/>
      <c r="SJF47" s="22"/>
      <c r="SJG47" s="22"/>
      <c r="SJH47" s="22"/>
      <c r="SJI47" s="22"/>
      <c r="SJJ47" s="22"/>
      <c r="SJK47" s="22"/>
      <c r="SJL47" s="22"/>
      <c r="SJM47" s="22"/>
      <c r="SJN47" s="22"/>
      <c r="SJO47" s="22"/>
      <c r="SJP47" s="22"/>
      <c r="SJQ47" s="22"/>
      <c r="SJR47" s="22"/>
      <c r="SJS47" s="22"/>
      <c r="SJT47" s="22"/>
      <c r="SJU47" s="22"/>
      <c r="SJV47" s="22"/>
      <c r="SJW47" s="22"/>
      <c r="SJX47" s="22"/>
      <c r="SJY47" s="22"/>
      <c r="SJZ47" s="22"/>
      <c r="SKA47" s="22"/>
      <c r="SKB47" s="22"/>
      <c r="SKC47" s="22"/>
      <c r="SKD47" s="22"/>
      <c r="SKE47" s="22"/>
      <c r="SKF47" s="22"/>
      <c r="SKG47" s="22"/>
      <c r="SKH47" s="22"/>
      <c r="SKI47" s="22"/>
      <c r="SKJ47" s="22"/>
      <c r="SKK47" s="22"/>
      <c r="SKL47" s="22"/>
      <c r="SKM47" s="22"/>
      <c r="SKN47" s="22"/>
      <c r="SKO47" s="22"/>
      <c r="SKP47" s="22"/>
      <c r="SKQ47" s="22"/>
      <c r="SKR47" s="22"/>
      <c r="SKS47" s="22"/>
      <c r="SKT47" s="22"/>
      <c r="SKU47" s="22"/>
      <c r="SKV47" s="22"/>
      <c r="SKW47" s="22"/>
      <c r="SKX47" s="22"/>
      <c r="SKY47" s="22"/>
      <c r="SKZ47" s="22"/>
      <c r="SLA47" s="22"/>
      <c r="SLB47" s="22"/>
      <c r="SLC47" s="22"/>
      <c r="SLD47" s="22"/>
      <c r="SLE47" s="22"/>
      <c r="SLF47" s="22"/>
      <c r="SLG47" s="22"/>
      <c r="SLH47" s="22"/>
      <c r="SLI47" s="22"/>
      <c r="SLJ47" s="22"/>
      <c r="SLK47" s="22"/>
      <c r="SLL47" s="22"/>
      <c r="SLM47" s="22"/>
      <c r="SLN47" s="22"/>
      <c r="SLO47" s="22"/>
      <c r="SLP47" s="22"/>
      <c r="SLQ47" s="22"/>
      <c r="SLR47" s="22"/>
      <c r="SLS47" s="22"/>
      <c r="SLT47" s="22"/>
      <c r="SLU47" s="22"/>
      <c r="SLV47" s="22"/>
      <c r="SLW47" s="22"/>
      <c r="SLX47" s="22"/>
      <c r="SLY47" s="22"/>
      <c r="SLZ47" s="22"/>
      <c r="SMA47" s="22"/>
      <c r="SMB47" s="22"/>
      <c r="SMC47" s="22"/>
      <c r="SMD47" s="22"/>
      <c r="SME47" s="22"/>
      <c r="SMF47" s="22"/>
      <c r="SMG47" s="22"/>
      <c r="SMH47" s="22"/>
      <c r="SMI47" s="22"/>
      <c r="SMJ47" s="22"/>
      <c r="SMK47" s="22"/>
      <c r="SML47" s="22"/>
      <c r="SMM47" s="22"/>
      <c r="SMN47" s="22"/>
      <c r="SMO47" s="22"/>
      <c r="SMP47" s="22"/>
      <c r="SMQ47" s="22"/>
      <c r="SMR47" s="22"/>
      <c r="SMS47" s="22"/>
      <c r="SMT47" s="22"/>
      <c r="SMU47" s="22"/>
      <c r="SMV47" s="22"/>
      <c r="SMW47" s="22"/>
      <c r="SMX47" s="22"/>
      <c r="SMY47" s="22"/>
      <c r="SMZ47" s="22"/>
      <c r="SNA47" s="22"/>
      <c r="SNB47" s="22"/>
      <c r="SNC47" s="22"/>
      <c r="SND47" s="22"/>
      <c r="SNE47" s="22"/>
      <c r="SNF47" s="22"/>
      <c r="SNG47" s="22"/>
      <c r="SNH47" s="22"/>
      <c r="SNI47" s="22"/>
      <c r="SNJ47" s="22"/>
      <c r="SNK47" s="22"/>
      <c r="SNL47" s="22"/>
      <c r="SNM47" s="22"/>
      <c r="SNN47" s="22"/>
      <c r="SNO47" s="22"/>
      <c r="SNP47" s="22"/>
      <c r="SNQ47" s="22"/>
      <c r="SNR47" s="22"/>
      <c r="SNS47" s="22"/>
      <c r="SNT47" s="22"/>
      <c r="SNU47" s="22"/>
      <c r="SNV47" s="22"/>
      <c r="SNW47" s="22"/>
      <c r="SNX47" s="22"/>
      <c r="SNY47" s="22"/>
      <c r="SNZ47" s="22"/>
      <c r="SOA47" s="22"/>
      <c r="SOB47" s="22"/>
      <c r="SOC47" s="22"/>
      <c r="SOD47" s="22"/>
      <c r="SOE47" s="22"/>
      <c r="SOF47" s="22"/>
      <c r="SOG47" s="22"/>
      <c r="SOH47" s="22"/>
      <c r="SOI47" s="22"/>
      <c r="SOJ47" s="22"/>
      <c r="SOK47" s="22"/>
      <c r="SOL47" s="22"/>
      <c r="SOM47" s="22"/>
      <c r="SON47" s="22"/>
      <c r="SOO47" s="22"/>
      <c r="SOP47" s="22"/>
      <c r="SOQ47" s="22"/>
      <c r="SOR47" s="22"/>
      <c r="SOS47" s="22"/>
      <c r="SOT47" s="22"/>
      <c r="SOU47" s="22"/>
      <c r="SOV47" s="22"/>
      <c r="SOW47" s="22"/>
      <c r="SOX47" s="22"/>
      <c r="SOY47" s="22"/>
      <c r="SOZ47" s="22"/>
      <c r="SPA47" s="22"/>
      <c r="SPB47" s="22"/>
      <c r="SPC47" s="22"/>
      <c r="SPD47" s="22"/>
      <c r="SPE47" s="22"/>
      <c r="SPF47" s="22"/>
      <c r="SPG47" s="22"/>
      <c r="SPH47" s="22"/>
      <c r="SPI47" s="22"/>
      <c r="SPJ47" s="22"/>
      <c r="SPK47" s="22"/>
      <c r="SPL47" s="22"/>
      <c r="SPM47" s="22"/>
      <c r="SPN47" s="22"/>
      <c r="SPO47" s="22"/>
      <c r="SPP47" s="22"/>
      <c r="SPQ47" s="22"/>
      <c r="SPR47" s="22"/>
      <c r="SPS47" s="22"/>
      <c r="SPT47" s="22"/>
      <c r="SPU47" s="22"/>
      <c r="SPV47" s="22"/>
      <c r="SPW47" s="22"/>
      <c r="SPX47" s="22"/>
      <c r="SPY47" s="22"/>
      <c r="SPZ47" s="22"/>
      <c r="SQA47" s="22"/>
      <c r="SQB47" s="22"/>
      <c r="SQC47" s="22"/>
      <c r="SQD47" s="22"/>
      <c r="SQE47" s="22"/>
      <c r="SQF47" s="22"/>
      <c r="SQG47" s="22"/>
      <c r="SQH47" s="22"/>
      <c r="SQI47" s="22"/>
      <c r="SQJ47" s="22"/>
      <c r="SQK47" s="22"/>
      <c r="SQL47" s="22"/>
      <c r="SQM47" s="22"/>
      <c r="SQN47" s="22"/>
      <c r="SQO47" s="22"/>
      <c r="SQP47" s="22"/>
      <c r="SQQ47" s="22"/>
      <c r="SQR47" s="22"/>
      <c r="SQS47" s="22"/>
      <c r="SQT47" s="22"/>
      <c r="SQU47" s="22"/>
      <c r="SQV47" s="22"/>
      <c r="SQW47" s="22"/>
      <c r="SQX47" s="22"/>
      <c r="SQY47" s="22"/>
      <c r="SQZ47" s="22"/>
      <c r="SRA47" s="22"/>
      <c r="SRB47" s="22"/>
      <c r="SRC47" s="22"/>
      <c r="SRD47" s="22"/>
      <c r="SRE47" s="22"/>
      <c r="SRF47" s="22"/>
      <c r="SRG47" s="22"/>
      <c r="SRH47" s="22"/>
      <c r="SRI47" s="22"/>
      <c r="SRJ47" s="22"/>
      <c r="SRK47" s="22"/>
      <c r="SRL47" s="22"/>
      <c r="SRM47" s="22"/>
      <c r="SRN47" s="22"/>
      <c r="SRO47" s="22"/>
      <c r="SRP47" s="22"/>
      <c r="SRQ47" s="22"/>
      <c r="SRR47" s="22"/>
      <c r="SRS47" s="22"/>
      <c r="SRT47" s="22"/>
      <c r="SRU47" s="22"/>
      <c r="SRV47" s="22"/>
      <c r="SRW47" s="22"/>
      <c r="SRX47" s="22"/>
      <c r="SRY47" s="22"/>
      <c r="SRZ47" s="22"/>
      <c r="SSA47" s="22"/>
      <c r="SSB47" s="22"/>
      <c r="SSC47" s="22"/>
      <c r="SSD47" s="22"/>
      <c r="SSE47" s="22"/>
      <c r="SSF47" s="22"/>
      <c r="SSG47" s="22"/>
      <c r="SSH47" s="22"/>
      <c r="SSI47" s="22"/>
      <c r="SSJ47" s="22"/>
      <c r="SSK47" s="22"/>
      <c r="SSL47" s="22"/>
      <c r="SSM47" s="22"/>
      <c r="SSN47" s="22"/>
      <c r="SSO47" s="22"/>
      <c r="SSP47" s="22"/>
      <c r="SSQ47" s="22"/>
      <c r="SSR47" s="22"/>
      <c r="SSS47" s="22"/>
      <c r="SST47" s="22"/>
      <c r="SSU47" s="22"/>
      <c r="SSV47" s="22"/>
      <c r="SSW47" s="22"/>
      <c r="SSX47" s="22"/>
      <c r="SSY47" s="22"/>
      <c r="SSZ47" s="22"/>
      <c r="STA47" s="22"/>
      <c r="STB47" s="22"/>
      <c r="STC47" s="22"/>
      <c r="STD47" s="22"/>
      <c r="STE47" s="22"/>
      <c r="STF47" s="22"/>
      <c r="STG47" s="22"/>
      <c r="STH47" s="22"/>
      <c r="STI47" s="22"/>
      <c r="STJ47" s="22"/>
      <c r="STK47" s="22"/>
      <c r="STL47" s="22"/>
      <c r="STM47" s="22"/>
      <c r="STN47" s="22"/>
      <c r="STO47" s="22"/>
      <c r="STP47" s="22"/>
      <c r="STQ47" s="22"/>
      <c r="STR47" s="22"/>
      <c r="STS47" s="22"/>
      <c r="STT47" s="22"/>
      <c r="STU47" s="22"/>
      <c r="STV47" s="22"/>
      <c r="STW47" s="22"/>
      <c r="STX47" s="22"/>
      <c r="STY47" s="22"/>
      <c r="STZ47" s="22"/>
      <c r="SUA47" s="22"/>
      <c r="SUB47" s="22"/>
      <c r="SUC47" s="22"/>
      <c r="SUD47" s="22"/>
      <c r="SUE47" s="22"/>
      <c r="SUF47" s="22"/>
      <c r="SUG47" s="22"/>
      <c r="SUH47" s="22"/>
      <c r="SUI47" s="22"/>
      <c r="SUJ47" s="22"/>
      <c r="SUK47" s="22"/>
      <c r="SUL47" s="22"/>
      <c r="SUM47" s="22"/>
      <c r="SUN47" s="22"/>
      <c r="SUO47" s="22"/>
      <c r="SUP47" s="22"/>
      <c r="SUQ47" s="22"/>
      <c r="SUR47" s="22"/>
      <c r="SUS47" s="22"/>
      <c r="SUT47" s="22"/>
      <c r="SUU47" s="22"/>
      <c r="SUV47" s="22"/>
      <c r="SUW47" s="22"/>
      <c r="SUX47" s="22"/>
      <c r="SUY47" s="22"/>
      <c r="SUZ47" s="22"/>
      <c r="SVA47" s="22"/>
      <c r="SVB47" s="22"/>
      <c r="SVC47" s="22"/>
      <c r="SVD47" s="22"/>
      <c r="SVE47" s="22"/>
      <c r="SVF47" s="22"/>
      <c r="SVG47" s="22"/>
      <c r="SVH47" s="22"/>
      <c r="SVI47" s="22"/>
      <c r="SVJ47" s="22"/>
      <c r="SVK47" s="22"/>
      <c r="SVL47" s="22"/>
      <c r="SVM47" s="22"/>
      <c r="SVN47" s="22"/>
      <c r="SVO47" s="22"/>
      <c r="SVP47" s="22"/>
      <c r="SVQ47" s="22"/>
      <c r="SVR47" s="22"/>
      <c r="SVS47" s="22"/>
      <c r="SVT47" s="22"/>
      <c r="SVU47" s="22"/>
      <c r="SVV47" s="22"/>
      <c r="SVW47" s="22"/>
      <c r="SVX47" s="22"/>
      <c r="SVY47" s="22"/>
      <c r="SVZ47" s="22"/>
      <c r="SWA47" s="22"/>
      <c r="SWB47" s="22"/>
      <c r="SWC47" s="22"/>
      <c r="SWD47" s="22"/>
      <c r="SWE47" s="22"/>
      <c r="SWF47" s="22"/>
      <c r="SWG47" s="22"/>
      <c r="SWH47" s="22"/>
      <c r="SWI47" s="22"/>
      <c r="SWJ47" s="22"/>
      <c r="SWK47" s="22"/>
      <c r="SWL47" s="22"/>
      <c r="SWM47" s="22"/>
      <c r="SWN47" s="22"/>
      <c r="SWO47" s="22"/>
      <c r="SWP47" s="22"/>
      <c r="SWQ47" s="22"/>
      <c r="SWR47" s="22"/>
      <c r="SWS47" s="22"/>
      <c r="SWT47" s="22"/>
      <c r="SWU47" s="22"/>
      <c r="SWV47" s="22"/>
      <c r="SWW47" s="22"/>
      <c r="SWX47" s="22"/>
      <c r="SWY47" s="22"/>
      <c r="SWZ47" s="22"/>
      <c r="SXA47" s="22"/>
      <c r="SXB47" s="22"/>
      <c r="SXC47" s="22"/>
      <c r="SXD47" s="22"/>
      <c r="SXE47" s="22"/>
      <c r="SXF47" s="22"/>
      <c r="SXG47" s="22"/>
      <c r="SXH47" s="22"/>
      <c r="SXI47" s="22"/>
      <c r="SXJ47" s="22"/>
      <c r="SXK47" s="22"/>
      <c r="SXL47" s="22"/>
      <c r="SXM47" s="22"/>
      <c r="SXN47" s="22"/>
      <c r="SXO47" s="22"/>
      <c r="SXP47" s="22"/>
      <c r="SXQ47" s="22"/>
      <c r="SXR47" s="22"/>
      <c r="SXS47" s="22"/>
      <c r="SXT47" s="22"/>
      <c r="SXU47" s="22"/>
      <c r="SXV47" s="22"/>
      <c r="SXW47" s="22"/>
      <c r="SXX47" s="22"/>
      <c r="SXY47" s="22"/>
      <c r="SXZ47" s="22"/>
      <c r="SYA47" s="22"/>
      <c r="SYB47" s="22"/>
      <c r="SYC47" s="22"/>
      <c r="SYD47" s="22"/>
      <c r="SYE47" s="22"/>
      <c r="SYF47" s="22"/>
      <c r="SYG47" s="22"/>
      <c r="SYH47" s="22"/>
      <c r="SYI47" s="22"/>
      <c r="SYJ47" s="22"/>
      <c r="SYK47" s="22"/>
      <c r="SYL47" s="22"/>
      <c r="SYM47" s="22"/>
      <c r="SYN47" s="22"/>
      <c r="SYO47" s="22"/>
      <c r="SYP47" s="22"/>
      <c r="SYQ47" s="22"/>
      <c r="SYR47" s="22"/>
      <c r="SYS47" s="22"/>
      <c r="SYT47" s="22"/>
      <c r="SYU47" s="22"/>
      <c r="SYV47" s="22"/>
      <c r="SYW47" s="22"/>
      <c r="SYX47" s="22"/>
      <c r="SYY47" s="22"/>
      <c r="SYZ47" s="22"/>
      <c r="SZA47" s="22"/>
      <c r="SZB47" s="22"/>
      <c r="SZC47" s="22"/>
      <c r="SZD47" s="22"/>
      <c r="SZE47" s="22"/>
      <c r="SZF47" s="22"/>
      <c r="SZG47" s="22"/>
      <c r="SZH47" s="22"/>
      <c r="SZI47" s="22"/>
      <c r="SZJ47" s="22"/>
      <c r="SZK47" s="22"/>
      <c r="SZL47" s="22"/>
      <c r="SZM47" s="22"/>
      <c r="SZN47" s="22"/>
      <c r="SZO47" s="22"/>
      <c r="SZP47" s="22"/>
      <c r="SZQ47" s="22"/>
      <c r="SZR47" s="22"/>
      <c r="SZS47" s="22"/>
      <c r="SZT47" s="22"/>
      <c r="SZU47" s="22"/>
      <c r="SZV47" s="22"/>
      <c r="SZW47" s="22"/>
      <c r="SZX47" s="22"/>
      <c r="SZY47" s="22"/>
      <c r="SZZ47" s="22"/>
      <c r="TAA47" s="22"/>
      <c r="TAB47" s="22"/>
      <c r="TAC47" s="22"/>
      <c r="TAD47" s="22"/>
      <c r="TAE47" s="22"/>
      <c r="TAF47" s="22"/>
      <c r="TAG47" s="22"/>
      <c r="TAH47" s="22"/>
      <c r="TAI47" s="22"/>
      <c r="TAJ47" s="22"/>
      <c r="TAK47" s="22"/>
      <c r="TAL47" s="22"/>
      <c r="TAM47" s="22"/>
      <c r="TAN47" s="22"/>
      <c r="TAO47" s="22"/>
      <c r="TAP47" s="22"/>
      <c r="TAQ47" s="22"/>
      <c r="TAR47" s="22"/>
      <c r="TAS47" s="22"/>
      <c r="TAT47" s="22"/>
      <c r="TAU47" s="22"/>
      <c r="TAV47" s="22"/>
      <c r="TAW47" s="22"/>
      <c r="TAX47" s="22"/>
      <c r="TAY47" s="22"/>
      <c r="TAZ47" s="22"/>
      <c r="TBA47" s="22"/>
      <c r="TBB47" s="22"/>
      <c r="TBC47" s="22"/>
      <c r="TBD47" s="22"/>
      <c r="TBE47" s="22"/>
      <c r="TBF47" s="22"/>
      <c r="TBG47" s="22"/>
      <c r="TBH47" s="22"/>
      <c r="TBI47" s="22"/>
      <c r="TBJ47" s="22"/>
      <c r="TBK47" s="22"/>
      <c r="TBL47" s="22"/>
      <c r="TBM47" s="22"/>
      <c r="TBN47" s="22"/>
      <c r="TBO47" s="22"/>
      <c r="TBP47" s="22"/>
      <c r="TBQ47" s="22"/>
      <c r="TBR47" s="22"/>
      <c r="TBS47" s="22"/>
      <c r="TBT47" s="22"/>
      <c r="TBU47" s="22"/>
      <c r="TBV47" s="22"/>
      <c r="TBW47" s="22"/>
      <c r="TBX47" s="22"/>
      <c r="TBY47" s="22"/>
      <c r="TBZ47" s="22"/>
      <c r="TCA47" s="22"/>
      <c r="TCB47" s="22"/>
      <c r="TCC47" s="22"/>
      <c r="TCD47" s="22"/>
      <c r="TCE47" s="22"/>
      <c r="TCF47" s="22"/>
      <c r="TCG47" s="22"/>
      <c r="TCH47" s="22"/>
      <c r="TCI47" s="22"/>
      <c r="TCJ47" s="22"/>
      <c r="TCK47" s="22"/>
      <c r="TCL47" s="22"/>
      <c r="TCM47" s="22"/>
      <c r="TCN47" s="22"/>
      <c r="TCO47" s="22"/>
      <c r="TCP47" s="22"/>
      <c r="TCQ47" s="22"/>
      <c r="TCR47" s="22"/>
      <c r="TCS47" s="22"/>
      <c r="TCT47" s="22"/>
      <c r="TCU47" s="22"/>
      <c r="TCV47" s="22"/>
      <c r="TCW47" s="22"/>
      <c r="TCX47" s="22"/>
      <c r="TCY47" s="22"/>
      <c r="TCZ47" s="22"/>
      <c r="TDA47" s="22"/>
      <c r="TDB47" s="22"/>
      <c r="TDC47" s="22"/>
      <c r="TDD47" s="22"/>
      <c r="TDE47" s="22"/>
      <c r="TDF47" s="22"/>
      <c r="TDG47" s="22"/>
      <c r="TDH47" s="22"/>
      <c r="TDI47" s="22"/>
      <c r="TDJ47" s="22"/>
      <c r="TDK47" s="22"/>
      <c r="TDL47" s="22"/>
      <c r="TDM47" s="22"/>
      <c r="TDN47" s="22"/>
      <c r="TDO47" s="22"/>
      <c r="TDP47" s="22"/>
      <c r="TDQ47" s="22"/>
      <c r="TDR47" s="22"/>
      <c r="TDS47" s="22"/>
      <c r="TDT47" s="22"/>
      <c r="TDU47" s="22"/>
      <c r="TDV47" s="22"/>
      <c r="TDW47" s="22"/>
      <c r="TDX47" s="22"/>
      <c r="TDY47" s="22"/>
      <c r="TDZ47" s="22"/>
      <c r="TEA47" s="22"/>
      <c r="TEB47" s="22"/>
      <c r="TEC47" s="22"/>
      <c r="TED47" s="22"/>
      <c r="TEE47" s="22"/>
      <c r="TEF47" s="22"/>
      <c r="TEG47" s="22"/>
      <c r="TEH47" s="22"/>
      <c r="TEI47" s="22"/>
      <c r="TEJ47" s="22"/>
      <c r="TEK47" s="22"/>
      <c r="TEL47" s="22"/>
      <c r="TEM47" s="22"/>
      <c r="TEN47" s="22"/>
      <c r="TEO47" s="22"/>
      <c r="TEP47" s="22"/>
      <c r="TEQ47" s="22"/>
      <c r="TER47" s="22"/>
      <c r="TES47" s="22"/>
      <c r="TET47" s="22"/>
      <c r="TEU47" s="22"/>
      <c r="TEV47" s="22"/>
      <c r="TEW47" s="22"/>
      <c r="TEX47" s="22"/>
      <c r="TEY47" s="22"/>
      <c r="TEZ47" s="22"/>
      <c r="TFA47" s="22"/>
      <c r="TFB47" s="22"/>
      <c r="TFC47" s="22"/>
      <c r="TFD47" s="22"/>
      <c r="TFE47" s="22"/>
      <c r="TFF47" s="22"/>
      <c r="TFG47" s="22"/>
      <c r="TFH47" s="22"/>
      <c r="TFI47" s="22"/>
      <c r="TFJ47" s="22"/>
      <c r="TFK47" s="22"/>
      <c r="TFL47" s="22"/>
      <c r="TFM47" s="22"/>
      <c r="TFN47" s="22"/>
      <c r="TFO47" s="22"/>
      <c r="TFP47" s="22"/>
      <c r="TFQ47" s="22"/>
      <c r="TFR47" s="22"/>
      <c r="TFS47" s="22"/>
      <c r="TFT47" s="22"/>
      <c r="TFU47" s="22"/>
      <c r="TFV47" s="22"/>
      <c r="TFW47" s="22"/>
      <c r="TFX47" s="22"/>
      <c r="TFY47" s="22"/>
      <c r="TFZ47" s="22"/>
      <c r="TGA47" s="22"/>
      <c r="TGB47" s="22"/>
      <c r="TGC47" s="22"/>
      <c r="TGD47" s="22"/>
      <c r="TGE47" s="22"/>
      <c r="TGF47" s="22"/>
      <c r="TGG47" s="22"/>
      <c r="TGH47" s="22"/>
      <c r="TGI47" s="22"/>
      <c r="TGJ47" s="22"/>
      <c r="TGK47" s="22"/>
      <c r="TGL47" s="22"/>
      <c r="TGM47" s="22"/>
      <c r="TGN47" s="22"/>
      <c r="TGO47" s="22"/>
      <c r="TGP47" s="22"/>
      <c r="TGQ47" s="22"/>
      <c r="TGR47" s="22"/>
      <c r="TGS47" s="22"/>
      <c r="TGT47" s="22"/>
      <c r="TGU47" s="22"/>
      <c r="TGV47" s="22"/>
      <c r="TGW47" s="22"/>
      <c r="TGX47" s="22"/>
      <c r="TGY47" s="22"/>
      <c r="TGZ47" s="22"/>
      <c r="THA47" s="22"/>
      <c r="THB47" s="22"/>
      <c r="THC47" s="22"/>
      <c r="THD47" s="22"/>
      <c r="THE47" s="22"/>
      <c r="THF47" s="22"/>
      <c r="THG47" s="22"/>
      <c r="THH47" s="22"/>
      <c r="THI47" s="22"/>
      <c r="THJ47" s="22"/>
      <c r="THK47" s="22"/>
      <c r="THL47" s="22"/>
      <c r="THM47" s="22"/>
      <c r="THN47" s="22"/>
      <c r="THO47" s="22"/>
      <c r="THP47" s="22"/>
      <c r="THQ47" s="22"/>
      <c r="THR47" s="22"/>
      <c r="THS47" s="22"/>
      <c r="THT47" s="22"/>
      <c r="THU47" s="22"/>
      <c r="THV47" s="22"/>
      <c r="THW47" s="22"/>
      <c r="THX47" s="22"/>
      <c r="THY47" s="22"/>
      <c r="THZ47" s="22"/>
      <c r="TIA47" s="22"/>
      <c r="TIB47" s="22"/>
      <c r="TIC47" s="22"/>
      <c r="TID47" s="22"/>
      <c r="TIE47" s="22"/>
      <c r="TIF47" s="22"/>
      <c r="TIG47" s="22"/>
      <c r="TIH47" s="22"/>
      <c r="TII47" s="22"/>
      <c r="TIJ47" s="22"/>
      <c r="TIK47" s="22"/>
      <c r="TIL47" s="22"/>
      <c r="TIM47" s="22"/>
      <c r="TIN47" s="22"/>
      <c r="TIO47" s="22"/>
      <c r="TIP47" s="22"/>
      <c r="TIQ47" s="22"/>
      <c r="TIR47" s="22"/>
      <c r="TIS47" s="22"/>
      <c r="TIT47" s="22"/>
      <c r="TIU47" s="22"/>
      <c r="TIV47" s="22"/>
      <c r="TIW47" s="22"/>
      <c r="TIX47" s="22"/>
      <c r="TIY47" s="22"/>
      <c r="TIZ47" s="22"/>
      <c r="TJA47" s="22"/>
      <c r="TJB47" s="22"/>
      <c r="TJC47" s="22"/>
      <c r="TJD47" s="22"/>
      <c r="TJE47" s="22"/>
      <c r="TJF47" s="22"/>
      <c r="TJG47" s="22"/>
      <c r="TJH47" s="22"/>
      <c r="TJI47" s="22"/>
      <c r="TJJ47" s="22"/>
      <c r="TJK47" s="22"/>
      <c r="TJL47" s="22"/>
      <c r="TJM47" s="22"/>
      <c r="TJN47" s="22"/>
      <c r="TJO47" s="22"/>
      <c r="TJP47" s="22"/>
      <c r="TJQ47" s="22"/>
      <c r="TJR47" s="22"/>
      <c r="TJS47" s="22"/>
      <c r="TJT47" s="22"/>
      <c r="TJU47" s="22"/>
      <c r="TJV47" s="22"/>
      <c r="TJW47" s="22"/>
      <c r="TJX47" s="22"/>
      <c r="TJY47" s="22"/>
      <c r="TJZ47" s="22"/>
      <c r="TKA47" s="22"/>
      <c r="TKB47" s="22"/>
      <c r="TKC47" s="22"/>
      <c r="TKD47" s="22"/>
      <c r="TKE47" s="22"/>
      <c r="TKF47" s="22"/>
      <c r="TKG47" s="22"/>
      <c r="TKH47" s="22"/>
      <c r="TKI47" s="22"/>
      <c r="TKJ47" s="22"/>
      <c r="TKK47" s="22"/>
      <c r="TKL47" s="22"/>
      <c r="TKM47" s="22"/>
      <c r="TKN47" s="22"/>
      <c r="TKO47" s="22"/>
      <c r="TKP47" s="22"/>
      <c r="TKQ47" s="22"/>
      <c r="TKR47" s="22"/>
      <c r="TKS47" s="22"/>
      <c r="TKT47" s="22"/>
      <c r="TKU47" s="22"/>
      <c r="TKV47" s="22"/>
      <c r="TKW47" s="22"/>
      <c r="TKX47" s="22"/>
      <c r="TKY47" s="22"/>
      <c r="TKZ47" s="22"/>
      <c r="TLA47" s="22"/>
      <c r="TLB47" s="22"/>
      <c r="TLC47" s="22"/>
      <c r="TLD47" s="22"/>
      <c r="TLE47" s="22"/>
      <c r="TLF47" s="22"/>
      <c r="TLG47" s="22"/>
      <c r="TLH47" s="22"/>
      <c r="TLI47" s="22"/>
      <c r="TLJ47" s="22"/>
      <c r="TLK47" s="22"/>
      <c r="TLL47" s="22"/>
      <c r="TLM47" s="22"/>
      <c r="TLN47" s="22"/>
      <c r="TLO47" s="22"/>
      <c r="TLP47" s="22"/>
      <c r="TLQ47" s="22"/>
      <c r="TLR47" s="22"/>
      <c r="TLS47" s="22"/>
      <c r="TLT47" s="22"/>
      <c r="TLU47" s="22"/>
      <c r="TLV47" s="22"/>
      <c r="TLW47" s="22"/>
      <c r="TLX47" s="22"/>
      <c r="TLY47" s="22"/>
      <c r="TLZ47" s="22"/>
      <c r="TMA47" s="22"/>
      <c r="TMB47" s="22"/>
      <c r="TMC47" s="22"/>
      <c r="TMD47" s="22"/>
      <c r="TME47" s="22"/>
      <c r="TMF47" s="22"/>
      <c r="TMG47" s="22"/>
      <c r="TMH47" s="22"/>
      <c r="TMI47" s="22"/>
      <c r="TMJ47" s="22"/>
      <c r="TMK47" s="22"/>
      <c r="TML47" s="22"/>
      <c r="TMM47" s="22"/>
      <c r="TMN47" s="22"/>
      <c r="TMO47" s="22"/>
      <c r="TMP47" s="22"/>
      <c r="TMQ47" s="22"/>
      <c r="TMR47" s="22"/>
      <c r="TMS47" s="22"/>
      <c r="TMT47" s="22"/>
      <c r="TMU47" s="22"/>
      <c r="TMV47" s="22"/>
      <c r="TMW47" s="22"/>
      <c r="TMX47" s="22"/>
      <c r="TMY47" s="22"/>
      <c r="TMZ47" s="22"/>
      <c r="TNA47" s="22"/>
      <c r="TNB47" s="22"/>
      <c r="TNC47" s="22"/>
      <c r="TND47" s="22"/>
      <c r="TNE47" s="22"/>
      <c r="TNF47" s="22"/>
      <c r="TNG47" s="22"/>
      <c r="TNH47" s="22"/>
      <c r="TNI47" s="22"/>
      <c r="TNJ47" s="22"/>
      <c r="TNK47" s="22"/>
      <c r="TNL47" s="22"/>
      <c r="TNM47" s="22"/>
      <c r="TNN47" s="22"/>
      <c r="TNO47" s="22"/>
      <c r="TNP47" s="22"/>
      <c r="TNQ47" s="22"/>
      <c r="TNR47" s="22"/>
      <c r="TNS47" s="22"/>
      <c r="TNT47" s="22"/>
      <c r="TNU47" s="22"/>
      <c r="TNV47" s="22"/>
      <c r="TNW47" s="22"/>
      <c r="TNX47" s="22"/>
      <c r="TNY47" s="22"/>
      <c r="TNZ47" s="22"/>
      <c r="TOA47" s="22"/>
      <c r="TOB47" s="22"/>
      <c r="TOC47" s="22"/>
      <c r="TOD47" s="22"/>
      <c r="TOE47" s="22"/>
      <c r="TOF47" s="22"/>
      <c r="TOG47" s="22"/>
      <c r="TOH47" s="22"/>
      <c r="TOI47" s="22"/>
      <c r="TOJ47" s="22"/>
      <c r="TOK47" s="22"/>
      <c r="TOL47" s="22"/>
      <c r="TOM47" s="22"/>
      <c r="TON47" s="22"/>
      <c r="TOO47" s="22"/>
      <c r="TOP47" s="22"/>
      <c r="TOQ47" s="22"/>
      <c r="TOR47" s="22"/>
      <c r="TOS47" s="22"/>
      <c r="TOT47" s="22"/>
      <c r="TOU47" s="22"/>
      <c r="TOV47" s="22"/>
      <c r="TOW47" s="22"/>
      <c r="TOX47" s="22"/>
      <c r="TOY47" s="22"/>
      <c r="TOZ47" s="22"/>
      <c r="TPA47" s="22"/>
      <c r="TPB47" s="22"/>
      <c r="TPC47" s="22"/>
      <c r="TPD47" s="22"/>
      <c r="TPE47" s="22"/>
      <c r="TPF47" s="22"/>
      <c r="TPG47" s="22"/>
      <c r="TPH47" s="22"/>
      <c r="TPI47" s="22"/>
      <c r="TPJ47" s="22"/>
      <c r="TPK47" s="22"/>
      <c r="TPL47" s="22"/>
      <c r="TPM47" s="22"/>
      <c r="TPN47" s="22"/>
      <c r="TPO47" s="22"/>
      <c r="TPP47" s="22"/>
      <c r="TPQ47" s="22"/>
      <c r="TPR47" s="22"/>
      <c r="TPS47" s="22"/>
      <c r="TPT47" s="22"/>
      <c r="TPU47" s="22"/>
      <c r="TPV47" s="22"/>
      <c r="TPW47" s="22"/>
      <c r="TPX47" s="22"/>
      <c r="TPY47" s="22"/>
      <c r="TPZ47" s="22"/>
      <c r="TQA47" s="22"/>
      <c r="TQB47" s="22"/>
      <c r="TQC47" s="22"/>
      <c r="TQD47" s="22"/>
      <c r="TQE47" s="22"/>
      <c r="TQF47" s="22"/>
      <c r="TQG47" s="22"/>
      <c r="TQH47" s="22"/>
      <c r="TQI47" s="22"/>
      <c r="TQJ47" s="22"/>
      <c r="TQK47" s="22"/>
      <c r="TQL47" s="22"/>
      <c r="TQM47" s="22"/>
      <c r="TQN47" s="22"/>
      <c r="TQO47" s="22"/>
      <c r="TQP47" s="22"/>
      <c r="TQQ47" s="22"/>
      <c r="TQR47" s="22"/>
      <c r="TQS47" s="22"/>
      <c r="TQT47" s="22"/>
      <c r="TQU47" s="22"/>
      <c r="TQV47" s="22"/>
      <c r="TQW47" s="22"/>
      <c r="TQX47" s="22"/>
      <c r="TQY47" s="22"/>
      <c r="TQZ47" s="22"/>
      <c r="TRA47" s="22"/>
      <c r="TRB47" s="22"/>
      <c r="TRC47" s="22"/>
      <c r="TRD47" s="22"/>
      <c r="TRE47" s="22"/>
      <c r="TRF47" s="22"/>
      <c r="TRG47" s="22"/>
      <c r="TRH47" s="22"/>
      <c r="TRI47" s="22"/>
      <c r="TRJ47" s="22"/>
      <c r="TRK47" s="22"/>
      <c r="TRL47" s="22"/>
      <c r="TRM47" s="22"/>
      <c r="TRN47" s="22"/>
      <c r="TRO47" s="22"/>
      <c r="TRP47" s="22"/>
      <c r="TRQ47" s="22"/>
      <c r="TRR47" s="22"/>
      <c r="TRS47" s="22"/>
      <c r="TRT47" s="22"/>
      <c r="TRU47" s="22"/>
      <c r="TRV47" s="22"/>
      <c r="TRW47" s="22"/>
      <c r="TRX47" s="22"/>
      <c r="TRY47" s="22"/>
      <c r="TRZ47" s="22"/>
      <c r="TSA47" s="22"/>
      <c r="TSB47" s="22"/>
      <c r="TSC47" s="22"/>
      <c r="TSD47" s="22"/>
      <c r="TSE47" s="22"/>
      <c r="TSF47" s="22"/>
      <c r="TSG47" s="22"/>
      <c r="TSH47" s="22"/>
      <c r="TSI47" s="22"/>
      <c r="TSJ47" s="22"/>
      <c r="TSK47" s="22"/>
      <c r="TSL47" s="22"/>
      <c r="TSM47" s="22"/>
      <c r="TSN47" s="22"/>
      <c r="TSO47" s="22"/>
      <c r="TSP47" s="22"/>
      <c r="TSQ47" s="22"/>
      <c r="TSR47" s="22"/>
      <c r="TSS47" s="22"/>
      <c r="TST47" s="22"/>
      <c r="TSU47" s="22"/>
      <c r="TSV47" s="22"/>
      <c r="TSW47" s="22"/>
      <c r="TSX47" s="22"/>
      <c r="TSY47" s="22"/>
      <c r="TSZ47" s="22"/>
      <c r="TTA47" s="22"/>
      <c r="TTB47" s="22"/>
      <c r="TTC47" s="22"/>
      <c r="TTD47" s="22"/>
      <c r="TTE47" s="22"/>
      <c r="TTF47" s="22"/>
      <c r="TTG47" s="22"/>
      <c r="TTH47" s="22"/>
      <c r="TTI47" s="22"/>
      <c r="TTJ47" s="22"/>
      <c r="TTK47" s="22"/>
      <c r="TTL47" s="22"/>
      <c r="TTM47" s="22"/>
      <c r="TTN47" s="22"/>
      <c r="TTO47" s="22"/>
      <c r="TTP47" s="22"/>
      <c r="TTQ47" s="22"/>
      <c r="TTR47" s="22"/>
      <c r="TTS47" s="22"/>
      <c r="TTT47" s="22"/>
      <c r="TTU47" s="22"/>
      <c r="TTV47" s="22"/>
      <c r="TTW47" s="22"/>
      <c r="TTX47" s="22"/>
      <c r="TTY47" s="22"/>
      <c r="TTZ47" s="22"/>
      <c r="TUA47" s="22"/>
      <c r="TUB47" s="22"/>
      <c r="TUC47" s="22"/>
      <c r="TUD47" s="22"/>
      <c r="TUE47" s="22"/>
      <c r="TUF47" s="22"/>
      <c r="TUG47" s="22"/>
      <c r="TUH47" s="22"/>
      <c r="TUI47" s="22"/>
      <c r="TUJ47" s="22"/>
      <c r="TUK47" s="22"/>
      <c r="TUL47" s="22"/>
      <c r="TUM47" s="22"/>
      <c r="TUN47" s="22"/>
      <c r="TUO47" s="22"/>
      <c r="TUP47" s="22"/>
      <c r="TUQ47" s="22"/>
      <c r="TUR47" s="22"/>
      <c r="TUS47" s="22"/>
      <c r="TUT47" s="22"/>
      <c r="TUU47" s="22"/>
      <c r="TUV47" s="22"/>
      <c r="TUW47" s="22"/>
      <c r="TUX47" s="22"/>
      <c r="TUY47" s="22"/>
      <c r="TUZ47" s="22"/>
      <c r="TVA47" s="22"/>
      <c r="TVB47" s="22"/>
      <c r="TVC47" s="22"/>
      <c r="TVD47" s="22"/>
      <c r="TVE47" s="22"/>
      <c r="TVF47" s="22"/>
      <c r="TVG47" s="22"/>
      <c r="TVH47" s="22"/>
      <c r="TVI47" s="22"/>
      <c r="TVJ47" s="22"/>
      <c r="TVK47" s="22"/>
      <c r="TVL47" s="22"/>
      <c r="TVM47" s="22"/>
      <c r="TVN47" s="22"/>
      <c r="TVO47" s="22"/>
      <c r="TVP47" s="22"/>
      <c r="TVQ47" s="22"/>
      <c r="TVR47" s="22"/>
      <c r="TVS47" s="22"/>
      <c r="TVT47" s="22"/>
      <c r="TVU47" s="22"/>
      <c r="TVV47" s="22"/>
      <c r="TVW47" s="22"/>
      <c r="TVX47" s="22"/>
      <c r="TVY47" s="22"/>
      <c r="TVZ47" s="22"/>
      <c r="TWA47" s="22"/>
      <c r="TWB47" s="22"/>
      <c r="TWC47" s="22"/>
      <c r="TWD47" s="22"/>
      <c r="TWE47" s="22"/>
      <c r="TWF47" s="22"/>
      <c r="TWG47" s="22"/>
      <c r="TWH47" s="22"/>
      <c r="TWI47" s="22"/>
      <c r="TWJ47" s="22"/>
      <c r="TWK47" s="22"/>
      <c r="TWL47" s="22"/>
      <c r="TWM47" s="22"/>
      <c r="TWN47" s="22"/>
      <c r="TWO47" s="22"/>
      <c r="TWP47" s="22"/>
      <c r="TWQ47" s="22"/>
      <c r="TWR47" s="22"/>
      <c r="TWS47" s="22"/>
      <c r="TWT47" s="22"/>
      <c r="TWU47" s="22"/>
      <c r="TWV47" s="22"/>
      <c r="TWW47" s="22"/>
      <c r="TWX47" s="22"/>
      <c r="TWY47" s="22"/>
      <c r="TWZ47" s="22"/>
      <c r="TXA47" s="22"/>
      <c r="TXB47" s="22"/>
      <c r="TXC47" s="22"/>
      <c r="TXD47" s="22"/>
      <c r="TXE47" s="22"/>
      <c r="TXF47" s="22"/>
      <c r="TXG47" s="22"/>
      <c r="TXH47" s="22"/>
      <c r="TXI47" s="22"/>
      <c r="TXJ47" s="22"/>
      <c r="TXK47" s="22"/>
      <c r="TXL47" s="22"/>
      <c r="TXM47" s="22"/>
      <c r="TXN47" s="22"/>
      <c r="TXO47" s="22"/>
      <c r="TXP47" s="22"/>
      <c r="TXQ47" s="22"/>
      <c r="TXR47" s="22"/>
      <c r="TXS47" s="22"/>
      <c r="TXT47" s="22"/>
      <c r="TXU47" s="22"/>
      <c r="TXV47" s="22"/>
      <c r="TXW47" s="22"/>
      <c r="TXX47" s="22"/>
      <c r="TXY47" s="22"/>
      <c r="TXZ47" s="22"/>
      <c r="TYA47" s="22"/>
      <c r="TYB47" s="22"/>
      <c r="TYC47" s="22"/>
      <c r="TYD47" s="22"/>
      <c r="TYE47" s="22"/>
      <c r="TYF47" s="22"/>
      <c r="TYG47" s="22"/>
      <c r="TYH47" s="22"/>
      <c r="TYI47" s="22"/>
      <c r="TYJ47" s="22"/>
      <c r="TYK47" s="22"/>
      <c r="TYL47" s="22"/>
      <c r="TYM47" s="22"/>
      <c r="TYN47" s="22"/>
      <c r="TYO47" s="22"/>
      <c r="TYP47" s="22"/>
      <c r="TYQ47" s="22"/>
      <c r="TYR47" s="22"/>
      <c r="TYS47" s="22"/>
      <c r="TYT47" s="22"/>
      <c r="TYU47" s="22"/>
      <c r="TYV47" s="22"/>
      <c r="TYW47" s="22"/>
      <c r="TYX47" s="22"/>
      <c r="TYY47" s="22"/>
      <c r="TYZ47" s="22"/>
      <c r="TZA47" s="22"/>
      <c r="TZB47" s="22"/>
      <c r="TZC47" s="22"/>
      <c r="TZD47" s="22"/>
      <c r="TZE47" s="22"/>
      <c r="TZF47" s="22"/>
      <c r="TZG47" s="22"/>
      <c r="TZH47" s="22"/>
      <c r="TZI47" s="22"/>
      <c r="TZJ47" s="22"/>
      <c r="TZK47" s="22"/>
      <c r="TZL47" s="22"/>
      <c r="TZM47" s="22"/>
      <c r="TZN47" s="22"/>
      <c r="TZO47" s="22"/>
      <c r="TZP47" s="22"/>
      <c r="TZQ47" s="22"/>
      <c r="TZR47" s="22"/>
      <c r="TZS47" s="22"/>
      <c r="TZT47" s="22"/>
      <c r="TZU47" s="22"/>
      <c r="TZV47" s="22"/>
      <c r="TZW47" s="22"/>
      <c r="TZX47" s="22"/>
      <c r="TZY47" s="22"/>
      <c r="TZZ47" s="22"/>
      <c r="UAA47" s="22"/>
      <c r="UAB47" s="22"/>
      <c r="UAC47" s="22"/>
      <c r="UAD47" s="22"/>
      <c r="UAE47" s="22"/>
      <c r="UAF47" s="22"/>
      <c r="UAG47" s="22"/>
      <c r="UAH47" s="22"/>
      <c r="UAI47" s="22"/>
      <c r="UAJ47" s="22"/>
      <c r="UAK47" s="22"/>
      <c r="UAL47" s="22"/>
      <c r="UAM47" s="22"/>
      <c r="UAN47" s="22"/>
      <c r="UAO47" s="22"/>
      <c r="UAP47" s="22"/>
      <c r="UAQ47" s="22"/>
      <c r="UAR47" s="22"/>
      <c r="UAS47" s="22"/>
      <c r="UAT47" s="22"/>
      <c r="UAU47" s="22"/>
      <c r="UAV47" s="22"/>
      <c r="UAW47" s="22"/>
      <c r="UAX47" s="22"/>
      <c r="UAY47" s="22"/>
      <c r="UAZ47" s="22"/>
      <c r="UBA47" s="22"/>
      <c r="UBB47" s="22"/>
      <c r="UBC47" s="22"/>
      <c r="UBD47" s="22"/>
      <c r="UBE47" s="22"/>
      <c r="UBF47" s="22"/>
      <c r="UBG47" s="22"/>
      <c r="UBH47" s="22"/>
      <c r="UBI47" s="22"/>
      <c r="UBJ47" s="22"/>
      <c r="UBK47" s="22"/>
      <c r="UBL47" s="22"/>
      <c r="UBM47" s="22"/>
      <c r="UBN47" s="22"/>
      <c r="UBO47" s="22"/>
      <c r="UBP47" s="22"/>
      <c r="UBQ47" s="22"/>
      <c r="UBR47" s="22"/>
      <c r="UBS47" s="22"/>
      <c r="UBT47" s="22"/>
      <c r="UBU47" s="22"/>
      <c r="UBV47" s="22"/>
      <c r="UBW47" s="22"/>
      <c r="UBX47" s="22"/>
      <c r="UBY47" s="22"/>
      <c r="UBZ47" s="22"/>
      <c r="UCA47" s="22"/>
      <c r="UCB47" s="22"/>
      <c r="UCC47" s="22"/>
      <c r="UCD47" s="22"/>
      <c r="UCE47" s="22"/>
      <c r="UCF47" s="22"/>
      <c r="UCG47" s="22"/>
      <c r="UCH47" s="22"/>
      <c r="UCI47" s="22"/>
      <c r="UCJ47" s="22"/>
      <c r="UCK47" s="22"/>
      <c r="UCL47" s="22"/>
      <c r="UCM47" s="22"/>
      <c r="UCN47" s="22"/>
      <c r="UCO47" s="22"/>
      <c r="UCP47" s="22"/>
      <c r="UCQ47" s="22"/>
      <c r="UCR47" s="22"/>
      <c r="UCS47" s="22"/>
      <c r="UCT47" s="22"/>
      <c r="UCU47" s="22"/>
      <c r="UCV47" s="22"/>
      <c r="UCW47" s="22"/>
      <c r="UCX47" s="22"/>
      <c r="UCY47" s="22"/>
      <c r="UCZ47" s="22"/>
      <c r="UDA47" s="22"/>
      <c r="UDB47" s="22"/>
      <c r="UDC47" s="22"/>
      <c r="UDD47" s="22"/>
      <c r="UDE47" s="22"/>
      <c r="UDF47" s="22"/>
      <c r="UDG47" s="22"/>
      <c r="UDH47" s="22"/>
      <c r="UDI47" s="22"/>
      <c r="UDJ47" s="22"/>
      <c r="UDK47" s="22"/>
      <c r="UDL47" s="22"/>
      <c r="UDM47" s="22"/>
      <c r="UDN47" s="22"/>
      <c r="UDO47" s="22"/>
      <c r="UDP47" s="22"/>
      <c r="UDQ47" s="22"/>
      <c r="UDR47" s="22"/>
      <c r="UDS47" s="22"/>
      <c r="UDT47" s="22"/>
      <c r="UDU47" s="22"/>
      <c r="UDV47" s="22"/>
      <c r="UDW47" s="22"/>
      <c r="UDX47" s="22"/>
      <c r="UDY47" s="22"/>
      <c r="UDZ47" s="22"/>
      <c r="UEA47" s="22"/>
      <c r="UEB47" s="22"/>
      <c r="UEC47" s="22"/>
      <c r="UED47" s="22"/>
      <c r="UEE47" s="22"/>
      <c r="UEF47" s="22"/>
      <c r="UEG47" s="22"/>
      <c r="UEH47" s="22"/>
      <c r="UEI47" s="22"/>
      <c r="UEJ47" s="22"/>
      <c r="UEK47" s="22"/>
      <c r="UEL47" s="22"/>
      <c r="UEM47" s="22"/>
      <c r="UEN47" s="22"/>
      <c r="UEO47" s="22"/>
      <c r="UEP47" s="22"/>
      <c r="UEQ47" s="22"/>
      <c r="UER47" s="22"/>
      <c r="UES47" s="22"/>
      <c r="UET47" s="22"/>
      <c r="UEU47" s="22"/>
      <c r="UEV47" s="22"/>
      <c r="UEW47" s="22"/>
      <c r="UEX47" s="22"/>
      <c r="UEY47" s="22"/>
      <c r="UEZ47" s="22"/>
      <c r="UFA47" s="22"/>
      <c r="UFB47" s="22"/>
      <c r="UFC47" s="22"/>
      <c r="UFD47" s="22"/>
      <c r="UFE47" s="22"/>
      <c r="UFF47" s="22"/>
      <c r="UFG47" s="22"/>
      <c r="UFH47" s="22"/>
      <c r="UFI47" s="22"/>
      <c r="UFJ47" s="22"/>
      <c r="UFK47" s="22"/>
      <c r="UFL47" s="22"/>
      <c r="UFM47" s="22"/>
      <c r="UFN47" s="22"/>
      <c r="UFO47" s="22"/>
      <c r="UFP47" s="22"/>
      <c r="UFQ47" s="22"/>
      <c r="UFR47" s="22"/>
      <c r="UFS47" s="22"/>
      <c r="UFT47" s="22"/>
      <c r="UFU47" s="22"/>
      <c r="UFV47" s="22"/>
      <c r="UFW47" s="22"/>
      <c r="UFX47" s="22"/>
      <c r="UFY47" s="22"/>
      <c r="UFZ47" s="22"/>
      <c r="UGA47" s="22"/>
      <c r="UGB47" s="22"/>
      <c r="UGC47" s="22"/>
      <c r="UGD47" s="22"/>
      <c r="UGE47" s="22"/>
      <c r="UGF47" s="22"/>
      <c r="UGG47" s="22"/>
      <c r="UGH47" s="22"/>
      <c r="UGI47" s="22"/>
      <c r="UGJ47" s="22"/>
      <c r="UGK47" s="22"/>
      <c r="UGL47" s="22"/>
      <c r="UGM47" s="22"/>
      <c r="UGN47" s="22"/>
      <c r="UGO47" s="22"/>
      <c r="UGP47" s="22"/>
      <c r="UGQ47" s="22"/>
      <c r="UGR47" s="22"/>
      <c r="UGS47" s="22"/>
      <c r="UGT47" s="22"/>
      <c r="UGU47" s="22"/>
      <c r="UGV47" s="22"/>
      <c r="UGW47" s="22"/>
      <c r="UGX47" s="22"/>
      <c r="UGY47" s="22"/>
      <c r="UGZ47" s="22"/>
      <c r="UHA47" s="22"/>
      <c r="UHB47" s="22"/>
      <c r="UHC47" s="22"/>
      <c r="UHD47" s="22"/>
      <c r="UHE47" s="22"/>
      <c r="UHF47" s="22"/>
      <c r="UHG47" s="22"/>
      <c r="UHH47" s="22"/>
      <c r="UHI47" s="22"/>
      <c r="UHJ47" s="22"/>
      <c r="UHK47" s="22"/>
      <c r="UHL47" s="22"/>
      <c r="UHM47" s="22"/>
      <c r="UHN47" s="22"/>
      <c r="UHO47" s="22"/>
      <c r="UHP47" s="22"/>
      <c r="UHQ47" s="22"/>
      <c r="UHR47" s="22"/>
      <c r="UHS47" s="22"/>
      <c r="UHT47" s="22"/>
      <c r="UHU47" s="22"/>
      <c r="UHV47" s="22"/>
      <c r="UHW47" s="22"/>
      <c r="UHX47" s="22"/>
      <c r="UHY47" s="22"/>
      <c r="UHZ47" s="22"/>
      <c r="UIA47" s="22"/>
      <c r="UIB47" s="22"/>
      <c r="UIC47" s="22"/>
      <c r="UID47" s="22"/>
      <c r="UIE47" s="22"/>
      <c r="UIF47" s="22"/>
      <c r="UIG47" s="22"/>
      <c r="UIH47" s="22"/>
      <c r="UII47" s="22"/>
      <c r="UIJ47" s="22"/>
      <c r="UIK47" s="22"/>
      <c r="UIL47" s="22"/>
      <c r="UIM47" s="22"/>
      <c r="UIN47" s="22"/>
      <c r="UIO47" s="22"/>
      <c r="UIP47" s="22"/>
      <c r="UIQ47" s="22"/>
      <c r="UIR47" s="22"/>
      <c r="UIS47" s="22"/>
      <c r="UIT47" s="22"/>
      <c r="UIU47" s="22"/>
      <c r="UIV47" s="22"/>
      <c r="UIW47" s="22"/>
      <c r="UIX47" s="22"/>
      <c r="UIY47" s="22"/>
      <c r="UIZ47" s="22"/>
      <c r="UJA47" s="22"/>
      <c r="UJB47" s="22"/>
      <c r="UJC47" s="22"/>
      <c r="UJD47" s="22"/>
      <c r="UJE47" s="22"/>
      <c r="UJF47" s="22"/>
      <c r="UJG47" s="22"/>
      <c r="UJH47" s="22"/>
      <c r="UJI47" s="22"/>
      <c r="UJJ47" s="22"/>
      <c r="UJK47" s="22"/>
      <c r="UJL47" s="22"/>
      <c r="UJM47" s="22"/>
      <c r="UJN47" s="22"/>
      <c r="UJO47" s="22"/>
      <c r="UJP47" s="22"/>
      <c r="UJQ47" s="22"/>
      <c r="UJR47" s="22"/>
      <c r="UJS47" s="22"/>
      <c r="UJT47" s="22"/>
      <c r="UJU47" s="22"/>
      <c r="UJV47" s="22"/>
      <c r="UJW47" s="22"/>
      <c r="UJX47" s="22"/>
      <c r="UJY47" s="22"/>
      <c r="UJZ47" s="22"/>
      <c r="UKA47" s="22"/>
      <c r="UKB47" s="22"/>
      <c r="UKC47" s="22"/>
      <c r="UKD47" s="22"/>
      <c r="UKE47" s="22"/>
      <c r="UKF47" s="22"/>
      <c r="UKG47" s="22"/>
      <c r="UKH47" s="22"/>
      <c r="UKI47" s="22"/>
      <c r="UKJ47" s="22"/>
      <c r="UKK47" s="22"/>
      <c r="UKL47" s="22"/>
      <c r="UKM47" s="22"/>
      <c r="UKN47" s="22"/>
      <c r="UKO47" s="22"/>
      <c r="UKP47" s="22"/>
      <c r="UKQ47" s="22"/>
      <c r="UKR47" s="22"/>
      <c r="UKS47" s="22"/>
      <c r="UKT47" s="22"/>
      <c r="UKU47" s="22"/>
      <c r="UKV47" s="22"/>
      <c r="UKW47" s="22"/>
      <c r="UKX47" s="22"/>
      <c r="UKY47" s="22"/>
      <c r="UKZ47" s="22"/>
      <c r="ULA47" s="22"/>
      <c r="ULB47" s="22"/>
      <c r="ULC47" s="22"/>
      <c r="ULD47" s="22"/>
      <c r="ULE47" s="22"/>
      <c r="ULF47" s="22"/>
      <c r="ULG47" s="22"/>
      <c r="ULH47" s="22"/>
      <c r="ULI47" s="22"/>
      <c r="ULJ47" s="22"/>
      <c r="ULK47" s="22"/>
      <c r="ULL47" s="22"/>
      <c r="ULM47" s="22"/>
      <c r="ULN47" s="22"/>
      <c r="ULO47" s="22"/>
      <c r="ULP47" s="22"/>
      <c r="ULQ47" s="22"/>
      <c r="ULR47" s="22"/>
      <c r="ULS47" s="22"/>
      <c r="ULT47" s="22"/>
      <c r="ULU47" s="22"/>
      <c r="ULV47" s="22"/>
      <c r="ULW47" s="22"/>
      <c r="ULX47" s="22"/>
      <c r="ULY47" s="22"/>
      <c r="ULZ47" s="22"/>
      <c r="UMA47" s="22"/>
      <c r="UMB47" s="22"/>
      <c r="UMC47" s="22"/>
      <c r="UMD47" s="22"/>
      <c r="UME47" s="22"/>
      <c r="UMF47" s="22"/>
      <c r="UMG47" s="22"/>
      <c r="UMH47" s="22"/>
      <c r="UMI47" s="22"/>
      <c r="UMJ47" s="22"/>
      <c r="UMK47" s="22"/>
      <c r="UML47" s="22"/>
      <c r="UMM47" s="22"/>
      <c r="UMN47" s="22"/>
      <c r="UMO47" s="22"/>
      <c r="UMP47" s="22"/>
      <c r="UMQ47" s="22"/>
      <c r="UMR47" s="22"/>
      <c r="UMS47" s="22"/>
      <c r="UMT47" s="22"/>
      <c r="UMU47" s="22"/>
      <c r="UMV47" s="22"/>
      <c r="UMW47" s="22"/>
      <c r="UMX47" s="22"/>
      <c r="UMY47" s="22"/>
      <c r="UMZ47" s="22"/>
      <c r="UNA47" s="22"/>
      <c r="UNB47" s="22"/>
      <c r="UNC47" s="22"/>
      <c r="UND47" s="22"/>
      <c r="UNE47" s="22"/>
      <c r="UNF47" s="22"/>
      <c r="UNG47" s="22"/>
      <c r="UNH47" s="22"/>
      <c r="UNI47" s="22"/>
      <c r="UNJ47" s="22"/>
      <c r="UNK47" s="22"/>
      <c r="UNL47" s="22"/>
      <c r="UNM47" s="22"/>
      <c r="UNN47" s="22"/>
      <c r="UNO47" s="22"/>
      <c r="UNP47" s="22"/>
      <c r="UNQ47" s="22"/>
      <c r="UNR47" s="22"/>
      <c r="UNS47" s="22"/>
      <c r="UNT47" s="22"/>
      <c r="UNU47" s="22"/>
      <c r="UNV47" s="22"/>
      <c r="UNW47" s="22"/>
      <c r="UNX47" s="22"/>
      <c r="UNY47" s="22"/>
      <c r="UNZ47" s="22"/>
      <c r="UOA47" s="22"/>
      <c r="UOB47" s="22"/>
      <c r="UOC47" s="22"/>
      <c r="UOD47" s="22"/>
      <c r="UOE47" s="22"/>
      <c r="UOF47" s="22"/>
      <c r="UOG47" s="22"/>
      <c r="UOH47" s="22"/>
      <c r="UOI47" s="22"/>
      <c r="UOJ47" s="22"/>
      <c r="UOK47" s="22"/>
      <c r="UOL47" s="22"/>
      <c r="UOM47" s="22"/>
      <c r="UON47" s="22"/>
      <c r="UOO47" s="22"/>
      <c r="UOP47" s="22"/>
      <c r="UOQ47" s="22"/>
      <c r="UOR47" s="22"/>
      <c r="UOS47" s="22"/>
      <c r="UOT47" s="22"/>
      <c r="UOU47" s="22"/>
      <c r="UOV47" s="22"/>
      <c r="UOW47" s="22"/>
      <c r="UOX47" s="22"/>
      <c r="UOY47" s="22"/>
      <c r="UOZ47" s="22"/>
      <c r="UPA47" s="22"/>
      <c r="UPB47" s="22"/>
      <c r="UPC47" s="22"/>
      <c r="UPD47" s="22"/>
      <c r="UPE47" s="22"/>
      <c r="UPF47" s="22"/>
      <c r="UPG47" s="22"/>
      <c r="UPH47" s="22"/>
      <c r="UPI47" s="22"/>
      <c r="UPJ47" s="22"/>
      <c r="UPK47" s="22"/>
      <c r="UPL47" s="22"/>
      <c r="UPM47" s="22"/>
      <c r="UPN47" s="22"/>
      <c r="UPO47" s="22"/>
      <c r="UPP47" s="22"/>
      <c r="UPQ47" s="22"/>
      <c r="UPR47" s="22"/>
      <c r="UPS47" s="22"/>
      <c r="UPT47" s="22"/>
      <c r="UPU47" s="22"/>
      <c r="UPV47" s="22"/>
      <c r="UPW47" s="22"/>
      <c r="UPX47" s="22"/>
      <c r="UPY47" s="22"/>
      <c r="UPZ47" s="22"/>
      <c r="UQA47" s="22"/>
      <c r="UQB47" s="22"/>
      <c r="UQC47" s="22"/>
      <c r="UQD47" s="22"/>
      <c r="UQE47" s="22"/>
      <c r="UQF47" s="22"/>
      <c r="UQG47" s="22"/>
      <c r="UQH47" s="22"/>
      <c r="UQI47" s="22"/>
      <c r="UQJ47" s="22"/>
      <c r="UQK47" s="22"/>
      <c r="UQL47" s="22"/>
      <c r="UQM47" s="22"/>
      <c r="UQN47" s="22"/>
      <c r="UQO47" s="22"/>
      <c r="UQP47" s="22"/>
      <c r="UQQ47" s="22"/>
      <c r="UQR47" s="22"/>
      <c r="UQS47" s="22"/>
      <c r="UQT47" s="22"/>
      <c r="UQU47" s="22"/>
      <c r="UQV47" s="22"/>
      <c r="UQW47" s="22"/>
      <c r="UQX47" s="22"/>
      <c r="UQY47" s="22"/>
      <c r="UQZ47" s="22"/>
      <c r="URA47" s="22"/>
      <c r="URB47" s="22"/>
      <c r="URC47" s="22"/>
      <c r="URD47" s="22"/>
      <c r="URE47" s="22"/>
      <c r="URF47" s="22"/>
      <c r="URG47" s="22"/>
      <c r="URH47" s="22"/>
      <c r="URI47" s="22"/>
      <c r="URJ47" s="22"/>
      <c r="URK47" s="22"/>
      <c r="URL47" s="22"/>
      <c r="URM47" s="22"/>
      <c r="URN47" s="22"/>
      <c r="URO47" s="22"/>
      <c r="URP47" s="22"/>
      <c r="URQ47" s="22"/>
      <c r="URR47" s="22"/>
      <c r="URS47" s="22"/>
      <c r="URT47" s="22"/>
      <c r="URU47" s="22"/>
      <c r="URV47" s="22"/>
      <c r="URW47" s="22"/>
      <c r="URX47" s="22"/>
      <c r="URY47" s="22"/>
      <c r="URZ47" s="22"/>
      <c r="USA47" s="22"/>
      <c r="USB47" s="22"/>
      <c r="USC47" s="22"/>
      <c r="USD47" s="22"/>
      <c r="USE47" s="22"/>
      <c r="USF47" s="22"/>
      <c r="USG47" s="22"/>
      <c r="USH47" s="22"/>
      <c r="USI47" s="22"/>
      <c r="USJ47" s="22"/>
      <c r="USK47" s="22"/>
      <c r="USL47" s="22"/>
      <c r="USM47" s="22"/>
      <c r="USN47" s="22"/>
      <c r="USO47" s="22"/>
      <c r="USP47" s="22"/>
      <c r="USQ47" s="22"/>
      <c r="USR47" s="22"/>
      <c r="USS47" s="22"/>
      <c r="UST47" s="22"/>
      <c r="USU47" s="22"/>
      <c r="USV47" s="22"/>
      <c r="USW47" s="22"/>
      <c r="USX47" s="22"/>
      <c r="USY47" s="22"/>
      <c r="USZ47" s="22"/>
      <c r="UTA47" s="22"/>
      <c r="UTB47" s="22"/>
      <c r="UTC47" s="22"/>
      <c r="UTD47" s="22"/>
      <c r="UTE47" s="22"/>
      <c r="UTF47" s="22"/>
      <c r="UTG47" s="22"/>
      <c r="UTH47" s="22"/>
      <c r="UTI47" s="22"/>
      <c r="UTJ47" s="22"/>
      <c r="UTK47" s="22"/>
      <c r="UTL47" s="22"/>
      <c r="UTM47" s="22"/>
      <c r="UTN47" s="22"/>
      <c r="UTO47" s="22"/>
      <c r="UTP47" s="22"/>
      <c r="UTQ47" s="22"/>
      <c r="UTR47" s="22"/>
      <c r="UTS47" s="22"/>
      <c r="UTT47" s="22"/>
      <c r="UTU47" s="22"/>
      <c r="UTV47" s="22"/>
      <c r="UTW47" s="22"/>
      <c r="UTX47" s="22"/>
      <c r="UTY47" s="22"/>
      <c r="UTZ47" s="22"/>
      <c r="UUA47" s="22"/>
      <c r="UUB47" s="22"/>
      <c r="UUC47" s="22"/>
      <c r="UUD47" s="22"/>
      <c r="UUE47" s="22"/>
      <c r="UUF47" s="22"/>
      <c r="UUG47" s="22"/>
      <c r="UUH47" s="22"/>
      <c r="UUI47" s="22"/>
      <c r="UUJ47" s="22"/>
      <c r="UUK47" s="22"/>
      <c r="UUL47" s="22"/>
      <c r="UUM47" s="22"/>
      <c r="UUN47" s="22"/>
      <c r="UUO47" s="22"/>
      <c r="UUP47" s="22"/>
      <c r="UUQ47" s="22"/>
      <c r="UUR47" s="22"/>
      <c r="UUS47" s="22"/>
      <c r="UUT47" s="22"/>
      <c r="UUU47" s="22"/>
      <c r="UUV47" s="22"/>
      <c r="UUW47" s="22"/>
      <c r="UUX47" s="22"/>
      <c r="UUY47" s="22"/>
      <c r="UUZ47" s="22"/>
      <c r="UVA47" s="22"/>
      <c r="UVB47" s="22"/>
      <c r="UVC47" s="22"/>
      <c r="UVD47" s="22"/>
      <c r="UVE47" s="22"/>
      <c r="UVF47" s="22"/>
      <c r="UVG47" s="22"/>
      <c r="UVH47" s="22"/>
      <c r="UVI47" s="22"/>
      <c r="UVJ47" s="22"/>
      <c r="UVK47" s="22"/>
      <c r="UVL47" s="22"/>
      <c r="UVM47" s="22"/>
      <c r="UVN47" s="22"/>
      <c r="UVO47" s="22"/>
      <c r="UVP47" s="22"/>
      <c r="UVQ47" s="22"/>
      <c r="UVR47" s="22"/>
      <c r="UVS47" s="22"/>
      <c r="UVT47" s="22"/>
      <c r="UVU47" s="22"/>
      <c r="UVV47" s="22"/>
      <c r="UVW47" s="22"/>
      <c r="UVX47" s="22"/>
      <c r="UVY47" s="22"/>
      <c r="UVZ47" s="22"/>
      <c r="UWA47" s="22"/>
      <c r="UWB47" s="22"/>
      <c r="UWC47" s="22"/>
      <c r="UWD47" s="22"/>
      <c r="UWE47" s="22"/>
      <c r="UWF47" s="22"/>
      <c r="UWG47" s="22"/>
      <c r="UWH47" s="22"/>
      <c r="UWI47" s="22"/>
      <c r="UWJ47" s="22"/>
      <c r="UWK47" s="22"/>
      <c r="UWL47" s="22"/>
      <c r="UWM47" s="22"/>
      <c r="UWN47" s="22"/>
      <c r="UWO47" s="22"/>
      <c r="UWP47" s="22"/>
      <c r="UWQ47" s="22"/>
      <c r="UWR47" s="22"/>
      <c r="UWS47" s="22"/>
      <c r="UWT47" s="22"/>
      <c r="UWU47" s="22"/>
      <c r="UWV47" s="22"/>
      <c r="UWW47" s="22"/>
      <c r="UWX47" s="22"/>
      <c r="UWY47" s="22"/>
      <c r="UWZ47" s="22"/>
      <c r="UXA47" s="22"/>
      <c r="UXB47" s="22"/>
      <c r="UXC47" s="22"/>
      <c r="UXD47" s="22"/>
      <c r="UXE47" s="22"/>
      <c r="UXF47" s="22"/>
      <c r="UXG47" s="22"/>
      <c r="UXH47" s="22"/>
      <c r="UXI47" s="22"/>
      <c r="UXJ47" s="22"/>
      <c r="UXK47" s="22"/>
      <c r="UXL47" s="22"/>
      <c r="UXM47" s="22"/>
      <c r="UXN47" s="22"/>
      <c r="UXO47" s="22"/>
      <c r="UXP47" s="22"/>
      <c r="UXQ47" s="22"/>
      <c r="UXR47" s="22"/>
      <c r="UXS47" s="22"/>
      <c r="UXT47" s="22"/>
      <c r="UXU47" s="22"/>
      <c r="UXV47" s="22"/>
      <c r="UXW47" s="22"/>
      <c r="UXX47" s="22"/>
      <c r="UXY47" s="22"/>
      <c r="UXZ47" s="22"/>
      <c r="UYA47" s="22"/>
      <c r="UYB47" s="22"/>
      <c r="UYC47" s="22"/>
      <c r="UYD47" s="22"/>
      <c r="UYE47" s="22"/>
      <c r="UYF47" s="22"/>
      <c r="UYG47" s="22"/>
      <c r="UYH47" s="22"/>
      <c r="UYI47" s="22"/>
      <c r="UYJ47" s="22"/>
      <c r="UYK47" s="22"/>
      <c r="UYL47" s="22"/>
      <c r="UYM47" s="22"/>
      <c r="UYN47" s="22"/>
      <c r="UYO47" s="22"/>
      <c r="UYP47" s="22"/>
      <c r="UYQ47" s="22"/>
      <c r="UYR47" s="22"/>
      <c r="UYS47" s="22"/>
      <c r="UYT47" s="22"/>
      <c r="UYU47" s="22"/>
      <c r="UYV47" s="22"/>
      <c r="UYW47" s="22"/>
      <c r="UYX47" s="22"/>
      <c r="UYY47" s="22"/>
      <c r="UYZ47" s="22"/>
      <c r="UZA47" s="22"/>
      <c r="UZB47" s="22"/>
      <c r="UZC47" s="22"/>
      <c r="UZD47" s="22"/>
      <c r="UZE47" s="22"/>
      <c r="UZF47" s="22"/>
      <c r="UZG47" s="22"/>
      <c r="UZH47" s="22"/>
      <c r="UZI47" s="22"/>
      <c r="UZJ47" s="22"/>
      <c r="UZK47" s="22"/>
      <c r="UZL47" s="22"/>
      <c r="UZM47" s="22"/>
      <c r="UZN47" s="22"/>
      <c r="UZO47" s="22"/>
      <c r="UZP47" s="22"/>
      <c r="UZQ47" s="22"/>
      <c r="UZR47" s="22"/>
      <c r="UZS47" s="22"/>
      <c r="UZT47" s="22"/>
      <c r="UZU47" s="22"/>
      <c r="UZV47" s="22"/>
      <c r="UZW47" s="22"/>
      <c r="UZX47" s="22"/>
      <c r="UZY47" s="22"/>
      <c r="UZZ47" s="22"/>
      <c r="VAA47" s="22"/>
      <c r="VAB47" s="22"/>
      <c r="VAC47" s="22"/>
      <c r="VAD47" s="22"/>
      <c r="VAE47" s="22"/>
      <c r="VAF47" s="22"/>
      <c r="VAG47" s="22"/>
      <c r="VAH47" s="22"/>
      <c r="VAI47" s="22"/>
      <c r="VAJ47" s="22"/>
      <c r="VAK47" s="22"/>
      <c r="VAL47" s="22"/>
      <c r="VAM47" s="22"/>
      <c r="VAN47" s="22"/>
      <c r="VAO47" s="22"/>
      <c r="VAP47" s="22"/>
      <c r="VAQ47" s="22"/>
      <c r="VAR47" s="22"/>
      <c r="VAS47" s="22"/>
      <c r="VAT47" s="22"/>
      <c r="VAU47" s="22"/>
      <c r="VAV47" s="22"/>
      <c r="VAW47" s="22"/>
      <c r="VAX47" s="22"/>
      <c r="VAY47" s="22"/>
      <c r="VAZ47" s="22"/>
      <c r="VBA47" s="22"/>
      <c r="VBB47" s="22"/>
      <c r="VBC47" s="22"/>
      <c r="VBD47" s="22"/>
      <c r="VBE47" s="22"/>
      <c r="VBF47" s="22"/>
      <c r="VBG47" s="22"/>
      <c r="VBH47" s="22"/>
      <c r="VBI47" s="22"/>
      <c r="VBJ47" s="22"/>
      <c r="VBK47" s="22"/>
      <c r="VBL47" s="22"/>
      <c r="VBM47" s="22"/>
      <c r="VBN47" s="22"/>
      <c r="VBO47" s="22"/>
      <c r="VBP47" s="22"/>
      <c r="VBQ47" s="22"/>
      <c r="VBR47" s="22"/>
      <c r="VBS47" s="22"/>
      <c r="VBT47" s="22"/>
      <c r="VBU47" s="22"/>
      <c r="VBV47" s="22"/>
      <c r="VBW47" s="22"/>
      <c r="VBX47" s="22"/>
      <c r="VBY47" s="22"/>
      <c r="VBZ47" s="22"/>
      <c r="VCA47" s="22"/>
      <c r="VCB47" s="22"/>
      <c r="VCC47" s="22"/>
      <c r="VCD47" s="22"/>
      <c r="VCE47" s="22"/>
      <c r="VCF47" s="22"/>
      <c r="VCG47" s="22"/>
      <c r="VCH47" s="22"/>
      <c r="VCI47" s="22"/>
      <c r="VCJ47" s="22"/>
      <c r="VCK47" s="22"/>
      <c r="VCL47" s="22"/>
      <c r="VCM47" s="22"/>
      <c r="VCN47" s="22"/>
      <c r="VCO47" s="22"/>
      <c r="VCP47" s="22"/>
      <c r="VCQ47" s="22"/>
      <c r="VCR47" s="22"/>
      <c r="VCS47" s="22"/>
      <c r="VCT47" s="22"/>
      <c r="VCU47" s="22"/>
      <c r="VCV47" s="22"/>
      <c r="VCW47" s="22"/>
      <c r="VCX47" s="22"/>
      <c r="VCY47" s="22"/>
      <c r="VCZ47" s="22"/>
      <c r="VDA47" s="22"/>
      <c r="VDB47" s="22"/>
      <c r="VDC47" s="22"/>
      <c r="VDD47" s="22"/>
      <c r="VDE47" s="22"/>
      <c r="VDF47" s="22"/>
      <c r="VDG47" s="22"/>
      <c r="VDH47" s="22"/>
      <c r="VDI47" s="22"/>
      <c r="VDJ47" s="22"/>
      <c r="VDK47" s="22"/>
      <c r="VDL47" s="22"/>
      <c r="VDM47" s="22"/>
      <c r="VDN47" s="22"/>
      <c r="VDO47" s="22"/>
      <c r="VDP47" s="22"/>
      <c r="VDQ47" s="22"/>
      <c r="VDR47" s="22"/>
      <c r="VDS47" s="22"/>
      <c r="VDT47" s="22"/>
      <c r="VDU47" s="22"/>
      <c r="VDV47" s="22"/>
      <c r="VDW47" s="22"/>
      <c r="VDX47" s="22"/>
      <c r="VDY47" s="22"/>
      <c r="VDZ47" s="22"/>
      <c r="VEA47" s="22"/>
      <c r="VEB47" s="22"/>
      <c r="VEC47" s="22"/>
      <c r="VED47" s="22"/>
      <c r="VEE47" s="22"/>
      <c r="VEF47" s="22"/>
      <c r="VEG47" s="22"/>
      <c r="VEH47" s="22"/>
      <c r="VEI47" s="22"/>
      <c r="VEJ47" s="22"/>
      <c r="VEK47" s="22"/>
      <c r="VEL47" s="22"/>
      <c r="VEM47" s="22"/>
      <c r="VEN47" s="22"/>
      <c r="VEO47" s="22"/>
      <c r="VEP47" s="22"/>
      <c r="VEQ47" s="22"/>
      <c r="VER47" s="22"/>
      <c r="VES47" s="22"/>
      <c r="VET47" s="22"/>
      <c r="VEU47" s="22"/>
      <c r="VEV47" s="22"/>
      <c r="VEW47" s="22"/>
      <c r="VEX47" s="22"/>
      <c r="VEY47" s="22"/>
      <c r="VEZ47" s="22"/>
      <c r="VFA47" s="22"/>
      <c r="VFB47" s="22"/>
      <c r="VFC47" s="22"/>
      <c r="VFD47" s="22"/>
      <c r="VFE47" s="22"/>
      <c r="VFF47" s="22"/>
      <c r="VFG47" s="22"/>
      <c r="VFH47" s="22"/>
      <c r="VFI47" s="22"/>
      <c r="VFJ47" s="22"/>
      <c r="VFK47" s="22"/>
      <c r="VFL47" s="22"/>
      <c r="VFM47" s="22"/>
      <c r="VFN47" s="22"/>
      <c r="VFO47" s="22"/>
      <c r="VFP47" s="22"/>
      <c r="VFQ47" s="22"/>
      <c r="VFR47" s="22"/>
      <c r="VFS47" s="22"/>
      <c r="VFT47" s="22"/>
      <c r="VFU47" s="22"/>
      <c r="VFV47" s="22"/>
      <c r="VFW47" s="22"/>
      <c r="VFX47" s="22"/>
      <c r="VFY47" s="22"/>
      <c r="VFZ47" s="22"/>
      <c r="VGA47" s="22"/>
      <c r="VGB47" s="22"/>
      <c r="VGC47" s="22"/>
      <c r="VGD47" s="22"/>
      <c r="VGE47" s="22"/>
      <c r="VGF47" s="22"/>
      <c r="VGG47" s="22"/>
      <c r="VGH47" s="22"/>
      <c r="VGI47" s="22"/>
      <c r="VGJ47" s="22"/>
      <c r="VGK47" s="22"/>
      <c r="VGL47" s="22"/>
      <c r="VGM47" s="22"/>
      <c r="VGN47" s="22"/>
      <c r="VGO47" s="22"/>
      <c r="VGP47" s="22"/>
      <c r="VGQ47" s="22"/>
      <c r="VGR47" s="22"/>
      <c r="VGS47" s="22"/>
      <c r="VGT47" s="22"/>
      <c r="VGU47" s="22"/>
      <c r="VGV47" s="22"/>
      <c r="VGW47" s="22"/>
      <c r="VGX47" s="22"/>
      <c r="VGY47" s="22"/>
      <c r="VGZ47" s="22"/>
      <c r="VHA47" s="22"/>
      <c r="VHB47" s="22"/>
      <c r="VHC47" s="22"/>
      <c r="VHD47" s="22"/>
      <c r="VHE47" s="22"/>
      <c r="VHF47" s="22"/>
      <c r="VHG47" s="22"/>
      <c r="VHH47" s="22"/>
      <c r="VHI47" s="22"/>
      <c r="VHJ47" s="22"/>
      <c r="VHK47" s="22"/>
      <c r="VHL47" s="22"/>
      <c r="VHM47" s="22"/>
      <c r="VHN47" s="22"/>
      <c r="VHO47" s="22"/>
      <c r="VHP47" s="22"/>
      <c r="VHQ47" s="22"/>
      <c r="VHR47" s="22"/>
      <c r="VHS47" s="22"/>
      <c r="VHT47" s="22"/>
      <c r="VHU47" s="22"/>
      <c r="VHV47" s="22"/>
      <c r="VHW47" s="22"/>
      <c r="VHX47" s="22"/>
      <c r="VHY47" s="22"/>
      <c r="VHZ47" s="22"/>
      <c r="VIA47" s="22"/>
      <c r="VIB47" s="22"/>
      <c r="VIC47" s="22"/>
      <c r="VID47" s="22"/>
      <c r="VIE47" s="22"/>
      <c r="VIF47" s="22"/>
      <c r="VIG47" s="22"/>
      <c r="VIH47" s="22"/>
      <c r="VII47" s="22"/>
      <c r="VIJ47" s="22"/>
      <c r="VIK47" s="22"/>
      <c r="VIL47" s="22"/>
      <c r="VIM47" s="22"/>
      <c r="VIN47" s="22"/>
      <c r="VIO47" s="22"/>
      <c r="VIP47" s="22"/>
      <c r="VIQ47" s="22"/>
      <c r="VIR47" s="22"/>
      <c r="VIS47" s="22"/>
      <c r="VIT47" s="22"/>
      <c r="VIU47" s="22"/>
      <c r="VIV47" s="22"/>
      <c r="VIW47" s="22"/>
      <c r="VIX47" s="22"/>
      <c r="VIY47" s="22"/>
      <c r="VIZ47" s="22"/>
      <c r="VJA47" s="22"/>
      <c r="VJB47" s="22"/>
      <c r="VJC47" s="22"/>
      <c r="VJD47" s="22"/>
      <c r="VJE47" s="22"/>
      <c r="VJF47" s="22"/>
      <c r="VJG47" s="22"/>
      <c r="VJH47" s="22"/>
      <c r="VJI47" s="22"/>
      <c r="VJJ47" s="22"/>
      <c r="VJK47" s="22"/>
      <c r="VJL47" s="22"/>
      <c r="VJM47" s="22"/>
      <c r="VJN47" s="22"/>
      <c r="VJO47" s="22"/>
      <c r="VJP47" s="22"/>
      <c r="VJQ47" s="22"/>
      <c r="VJR47" s="22"/>
      <c r="VJS47" s="22"/>
      <c r="VJT47" s="22"/>
      <c r="VJU47" s="22"/>
      <c r="VJV47" s="22"/>
      <c r="VJW47" s="22"/>
      <c r="VJX47" s="22"/>
      <c r="VJY47" s="22"/>
      <c r="VJZ47" s="22"/>
      <c r="VKA47" s="22"/>
      <c r="VKB47" s="22"/>
      <c r="VKC47" s="22"/>
      <c r="VKD47" s="22"/>
      <c r="VKE47" s="22"/>
      <c r="VKF47" s="22"/>
      <c r="VKG47" s="22"/>
      <c r="VKH47" s="22"/>
      <c r="VKI47" s="22"/>
      <c r="VKJ47" s="22"/>
      <c r="VKK47" s="22"/>
      <c r="VKL47" s="22"/>
      <c r="VKM47" s="22"/>
      <c r="VKN47" s="22"/>
      <c r="VKO47" s="22"/>
      <c r="VKP47" s="22"/>
      <c r="VKQ47" s="22"/>
      <c r="VKR47" s="22"/>
      <c r="VKS47" s="22"/>
      <c r="VKT47" s="22"/>
      <c r="VKU47" s="22"/>
      <c r="VKV47" s="22"/>
      <c r="VKW47" s="22"/>
      <c r="VKX47" s="22"/>
      <c r="VKY47" s="22"/>
      <c r="VKZ47" s="22"/>
      <c r="VLA47" s="22"/>
      <c r="VLB47" s="22"/>
      <c r="VLC47" s="22"/>
      <c r="VLD47" s="22"/>
      <c r="VLE47" s="22"/>
      <c r="VLF47" s="22"/>
      <c r="VLG47" s="22"/>
      <c r="VLH47" s="22"/>
      <c r="VLI47" s="22"/>
      <c r="VLJ47" s="22"/>
      <c r="VLK47" s="22"/>
      <c r="VLL47" s="22"/>
      <c r="VLM47" s="22"/>
      <c r="VLN47" s="22"/>
      <c r="VLO47" s="22"/>
      <c r="VLP47" s="22"/>
      <c r="VLQ47" s="22"/>
      <c r="VLR47" s="22"/>
      <c r="VLS47" s="22"/>
      <c r="VLT47" s="22"/>
      <c r="VLU47" s="22"/>
      <c r="VLV47" s="22"/>
      <c r="VLW47" s="22"/>
      <c r="VLX47" s="22"/>
      <c r="VLY47" s="22"/>
      <c r="VLZ47" s="22"/>
      <c r="VMA47" s="22"/>
      <c r="VMB47" s="22"/>
      <c r="VMC47" s="22"/>
      <c r="VMD47" s="22"/>
      <c r="VME47" s="22"/>
      <c r="VMF47" s="22"/>
      <c r="VMG47" s="22"/>
      <c r="VMH47" s="22"/>
      <c r="VMI47" s="22"/>
      <c r="VMJ47" s="22"/>
      <c r="VMK47" s="22"/>
      <c r="VML47" s="22"/>
      <c r="VMM47" s="22"/>
      <c r="VMN47" s="22"/>
      <c r="VMO47" s="22"/>
      <c r="VMP47" s="22"/>
      <c r="VMQ47" s="22"/>
      <c r="VMR47" s="22"/>
      <c r="VMS47" s="22"/>
      <c r="VMT47" s="22"/>
      <c r="VMU47" s="22"/>
      <c r="VMV47" s="22"/>
      <c r="VMW47" s="22"/>
      <c r="VMX47" s="22"/>
      <c r="VMY47" s="22"/>
      <c r="VMZ47" s="22"/>
      <c r="VNA47" s="22"/>
      <c r="VNB47" s="22"/>
      <c r="VNC47" s="22"/>
      <c r="VND47" s="22"/>
      <c r="VNE47" s="22"/>
      <c r="VNF47" s="22"/>
      <c r="VNG47" s="22"/>
      <c r="VNH47" s="22"/>
      <c r="VNI47" s="22"/>
      <c r="VNJ47" s="22"/>
      <c r="VNK47" s="22"/>
      <c r="VNL47" s="22"/>
      <c r="VNM47" s="22"/>
      <c r="VNN47" s="22"/>
      <c r="VNO47" s="22"/>
      <c r="VNP47" s="22"/>
      <c r="VNQ47" s="22"/>
      <c r="VNR47" s="22"/>
      <c r="VNS47" s="22"/>
      <c r="VNT47" s="22"/>
      <c r="VNU47" s="22"/>
      <c r="VNV47" s="22"/>
      <c r="VNW47" s="22"/>
      <c r="VNX47" s="22"/>
      <c r="VNY47" s="22"/>
      <c r="VNZ47" s="22"/>
      <c r="VOA47" s="22"/>
      <c r="VOB47" s="22"/>
      <c r="VOC47" s="22"/>
      <c r="VOD47" s="22"/>
      <c r="VOE47" s="22"/>
      <c r="VOF47" s="22"/>
      <c r="VOG47" s="22"/>
      <c r="VOH47" s="22"/>
      <c r="VOI47" s="22"/>
      <c r="VOJ47" s="22"/>
      <c r="VOK47" s="22"/>
      <c r="VOL47" s="22"/>
      <c r="VOM47" s="22"/>
      <c r="VON47" s="22"/>
      <c r="VOO47" s="22"/>
      <c r="VOP47" s="22"/>
      <c r="VOQ47" s="22"/>
      <c r="VOR47" s="22"/>
      <c r="VOS47" s="22"/>
      <c r="VOT47" s="22"/>
      <c r="VOU47" s="22"/>
      <c r="VOV47" s="22"/>
      <c r="VOW47" s="22"/>
      <c r="VOX47" s="22"/>
      <c r="VOY47" s="22"/>
      <c r="VOZ47" s="22"/>
      <c r="VPA47" s="22"/>
      <c r="VPB47" s="22"/>
      <c r="VPC47" s="22"/>
      <c r="VPD47" s="22"/>
      <c r="VPE47" s="22"/>
      <c r="VPF47" s="22"/>
      <c r="VPG47" s="22"/>
      <c r="VPH47" s="22"/>
      <c r="VPI47" s="22"/>
      <c r="VPJ47" s="22"/>
      <c r="VPK47" s="22"/>
      <c r="VPL47" s="22"/>
      <c r="VPM47" s="22"/>
      <c r="VPN47" s="22"/>
      <c r="VPO47" s="22"/>
      <c r="VPP47" s="22"/>
      <c r="VPQ47" s="22"/>
      <c r="VPR47" s="22"/>
      <c r="VPS47" s="22"/>
      <c r="VPT47" s="22"/>
      <c r="VPU47" s="22"/>
      <c r="VPV47" s="22"/>
      <c r="VPW47" s="22"/>
      <c r="VPX47" s="22"/>
      <c r="VPY47" s="22"/>
      <c r="VPZ47" s="22"/>
      <c r="VQA47" s="22"/>
      <c r="VQB47" s="22"/>
      <c r="VQC47" s="22"/>
      <c r="VQD47" s="22"/>
      <c r="VQE47" s="22"/>
      <c r="VQF47" s="22"/>
      <c r="VQG47" s="22"/>
      <c r="VQH47" s="22"/>
      <c r="VQI47" s="22"/>
      <c r="VQJ47" s="22"/>
      <c r="VQK47" s="22"/>
      <c r="VQL47" s="22"/>
      <c r="VQM47" s="22"/>
      <c r="VQN47" s="22"/>
      <c r="VQO47" s="22"/>
      <c r="VQP47" s="22"/>
      <c r="VQQ47" s="22"/>
      <c r="VQR47" s="22"/>
      <c r="VQS47" s="22"/>
      <c r="VQT47" s="22"/>
      <c r="VQU47" s="22"/>
      <c r="VQV47" s="22"/>
      <c r="VQW47" s="22"/>
      <c r="VQX47" s="22"/>
      <c r="VQY47" s="22"/>
      <c r="VQZ47" s="22"/>
      <c r="VRA47" s="22"/>
      <c r="VRB47" s="22"/>
      <c r="VRC47" s="22"/>
      <c r="VRD47" s="22"/>
      <c r="VRE47" s="22"/>
      <c r="VRF47" s="22"/>
      <c r="VRG47" s="22"/>
      <c r="VRH47" s="22"/>
      <c r="VRI47" s="22"/>
      <c r="VRJ47" s="22"/>
      <c r="VRK47" s="22"/>
      <c r="VRL47" s="22"/>
      <c r="VRM47" s="22"/>
      <c r="VRN47" s="22"/>
      <c r="VRO47" s="22"/>
      <c r="VRP47" s="22"/>
      <c r="VRQ47" s="22"/>
      <c r="VRR47" s="22"/>
      <c r="VRS47" s="22"/>
      <c r="VRT47" s="22"/>
      <c r="VRU47" s="22"/>
      <c r="VRV47" s="22"/>
      <c r="VRW47" s="22"/>
      <c r="VRX47" s="22"/>
      <c r="VRY47" s="22"/>
      <c r="VRZ47" s="22"/>
      <c r="VSA47" s="22"/>
      <c r="VSB47" s="22"/>
      <c r="VSC47" s="22"/>
      <c r="VSD47" s="22"/>
      <c r="VSE47" s="22"/>
      <c r="VSF47" s="22"/>
      <c r="VSG47" s="22"/>
      <c r="VSH47" s="22"/>
      <c r="VSI47" s="22"/>
      <c r="VSJ47" s="22"/>
      <c r="VSK47" s="22"/>
      <c r="VSL47" s="22"/>
      <c r="VSM47" s="22"/>
      <c r="VSN47" s="22"/>
      <c r="VSO47" s="22"/>
      <c r="VSP47" s="22"/>
      <c r="VSQ47" s="22"/>
      <c r="VSR47" s="22"/>
      <c r="VSS47" s="22"/>
      <c r="VST47" s="22"/>
      <c r="VSU47" s="22"/>
      <c r="VSV47" s="22"/>
      <c r="VSW47" s="22"/>
      <c r="VSX47" s="22"/>
      <c r="VSY47" s="22"/>
      <c r="VSZ47" s="22"/>
      <c r="VTA47" s="22"/>
      <c r="VTB47" s="22"/>
      <c r="VTC47" s="22"/>
      <c r="VTD47" s="22"/>
      <c r="VTE47" s="22"/>
      <c r="VTF47" s="22"/>
      <c r="VTG47" s="22"/>
      <c r="VTH47" s="22"/>
      <c r="VTI47" s="22"/>
      <c r="VTJ47" s="22"/>
      <c r="VTK47" s="22"/>
      <c r="VTL47" s="22"/>
      <c r="VTM47" s="22"/>
      <c r="VTN47" s="22"/>
      <c r="VTO47" s="22"/>
      <c r="VTP47" s="22"/>
      <c r="VTQ47" s="22"/>
      <c r="VTR47" s="22"/>
      <c r="VTS47" s="22"/>
      <c r="VTT47" s="22"/>
      <c r="VTU47" s="22"/>
      <c r="VTV47" s="22"/>
      <c r="VTW47" s="22"/>
      <c r="VTX47" s="22"/>
      <c r="VTY47" s="22"/>
      <c r="VTZ47" s="22"/>
      <c r="VUA47" s="22"/>
      <c r="VUB47" s="22"/>
      <c r="VUC47" s="22"/>
      <c r="VUD47" s="22"/>
      <c r="VUE47" s="22"/>
      <c r="VUF47" s="22"/>
      <c r="VUG47" s="22"/>
      <c r="VUH47" s="22"/>
      <c r="VUI47" s="22"/>
      <c r="VUJ47" s="22"/>
      <c r="VUK47" s="22"/>
      <c r="VUL47" s="22"/>
      <c r="VUM47" s="22"/>
      <c r="VUN47" s="22"/>
      <c r="VUO47" s="22"/>
      <c r="VUP47" s="22"/>
      <c r="VUQ47" s="22"/>
      <c r="VUR47" s="22"/>
      <c r="VUS47" s="22"/>
      <c r="VUT47" s="22"/>
      <c r="VUU47" s="22"/>
      <c r="VUV47" s="22"/>
      <c r="VUW47" s="22"/>
      <c r="VUX47" s="22"/>
      <c r="VUY47" s="22"/>
      <c r="VUZ47" s="22"/>
      <c r="VVA47" s="22"/>
      <c r="VVB47" s="22"/>
      <c r="VVC47" s="22"/>
      <c r="VVD47" s="22"/>
      <c r="VVE47" s="22"/>
      <c r="VVF47" s="22"/>
      <c r="VVG47" s="22"/>
      <c r="VVH47" s="22"/>
      <c r="VVI47" s="22"/>
      <c r="VVJ47" s="22"/>
      <c r="VVK47" s="22"/>
      <c r="VVL47" s="22"/>
      <c r="VVM47" s="22"/>
      <c r="VVN47" s="22"/>
      <c r="VVO47" s="22"/>
      <c r="VVP47" s="22"/>
      <c r="VVQ47" s="22"/>
      <c r="VVR47" s="22"/>
      <c r="VVS47" s="22"/>
      <c r="VVT47" s="22"/>
      <c r="VVU47" s="22"/>
      <c r="VVV47" s="22"/>
      <c r="VVW47" s="22"/>
      <c r="VVX47" s="22"/>
      <c r="VVY47" s="22"/>
      <c r="VVZ47" s="22"/>
      <c r="VWA47" s="22"/>
      <c r="VWB47" s="22"/>
      <c r="VWC47" s="22"/>
      <c r="VWD47" s="22"/>
      <c r="VWE47" s="22"/>
      <c r="VWF47" s="22"/>
      <c r="VWG47" s="22"/>
      <c r="VWH47" s="22"/>
      <c r="VWI47" s="22"/>
      <c r="VWJ47" s="22"/>
      <c r="VWK47" s="22"/>
      <c r="VWL47" s="22"/>
      <c r="VWM47" s="22"/>
      <c r="VWN47" s="22"/>
      <c r="VWO47" s="22"/>
      <c r="VWP47" s="22"/>
      <c r="VWQ47" s="22"/>
      <c r="VWR47" s="22"/>
      <c r="VWS47" s="22"/>
      <c r="VWT47" s="22"/>
      <c r="VWU47" s="22"/>
      <c r="VWV47" s="22"/>
      <c r="VWW47" s="22"/>
      <c r="VWX47" s="22"/>
      <c r="VWY47" s="22"/>
      <c r="VWZ47" s="22"/>
      <c r="VXA47" s="22"/>
      <c r="VXB47" s="22"/>
      <c r="VXC47" s="22"/>
      <c r="VXD47" s="22"/>
      <c r="VXE47" s="22"/>
      <c r="VXF47" s="22"/>
      <c r="VXG47" s="22"/>
      <c r="VXH47" s="22"/>
      <c r="VXI47" s="22"/>
      <c r="VXJ47" s="22"/>
      <c r="VXK47" s="22"/>
      <c r="VXL47" s="22"/>
      <c r="VXM47" s="22"/>
      <c r="VXN47" s="22"/>
      <c r="VXO47" s="22"/>
      <c r="VXP47" s="22"/>
      <c r="VXQ47" s="22"/>
      <c r="VXR47" s="22"/>
      <c r="VXS47" s="22"/>
      <c r="VXT47" s="22"/>
      <c r="VXU47" s="22"/>
      <c r="VXV47" s="22"/>
      <c r="VXW47" s="22"/>
      <c r="VXX47" s="22"/>
      <c r="VXY47" s="22"/>
      <c r="VXZ47" s="22"/>
      <c r="VYA47" s="22"/>
      <c r="VYB47" s="22"/>
      <c r="VYC47" s="22"/>
      <c r="VYD47" s="22"/>
      <c r="VYE47" s="22"/>
      <c r="VYF47" s="22"/>
      <c r="VYG47" s="22"/>
      <c r="VYH47" s="22"/>
      <c r="VYI47" s="22"/>
      <c r="VYJ47" s="22"/>
      <c r="VYK47" s="22"/>
      <c r="VYL47" s="22"/>
      <c r="VYM47" s="22"/>
      <c r="VYN47" s="22"/>
      <c r="VYO47" s="22"/>
      <c r="VYP47" s="22"/>
      <c r="VYQ47" s="22"/>
      <c r="VYR47" s="22"/>
      <c r="VYS47" s="22"/>
      <c r="VYT47" s="22"/>
      <c r="VYU47" s="22"/>
      <c r="VYV47" s="22"/>
      <c r="VYW47" s="22"/>
      <c r="VYX47" s="22"/>
      <c r="VYY47" s="22"/>
      <c r="VYZ47" s="22"/>
      <c r="VZA47" s="22"/>
      <c r="VZB47" s="22"/>
      <c r="VZC47" s="22"/>
      <c r="VZD47" s="22"/>
      <c r="VZE47" s="22"/>
      <c r="VZF47" s="22"/>
      <c r="VZG47" s="22"/>
      <c r="VZH47" s="22"/>
      <c r="VZI47" s="22"/>
      <c r="VZJ47" s="22"/>
      <c r="VZK47" s="22"/>
      <c r="VZL47" s="22"/>
      <c r="VZM47" s="22"/>
      <c r="VZN47" s="22"/>
      <c r="VZO47" s="22"/>
      <c r="VZP47" s="22"/>
      <c r="VZQ47" s="22"/>
      <c r="VZR47" s="22"/>
      <c r="VZS47" s="22"/>
      <c r="VZT47" s="22"/>
      <c r="VZU47" s="22"/>
      <c r="VZV47" s="22"/>
      <c r="VZW47" s="22"/>
      <c r="VZX47" s="22"/>
      <c r="VZY47" s="22"/>
      <c r="VZZ47" s="22"/>
      <c r="WAA47" s="22"/>
      <c r="WAB47" s="22"/>
      <c r="WAC47" s="22"/>
      <c r="WAD47" s="22"/>
      <c r="WAE47" s="22"/>
      <c r="WAF47" s="22"/>
      <c r="WAG47" s="22"/>
      <c r="WAH47" s="22"/>
      <c r="WAI47" s="22"/>
      <c r="WAJ47" s="22"/>
      <c r="WAK47" s="22"/>
      <c r="WAL47" s="22"/>
      <c r="WAM47" s="22"/>
      <c r="WAN47" s="22"/>
      <c r="WAO47" s="22"/>
      <c r="WAP47" s="22"/>
      <c r="WAQ47" s="22"/>
      <c r="WAR47" s="22"/>
      <c r="WAS47" s="22"/>
      <c r="WAT47" s="22"/>
      <c r="WAU47" s="22"/>
      <c r="WAV47" s="22"/>
      <c r="WAW47" s="22"/>
      <c r="WAX47" s="22"/>
      <c r="WAY47" s="22"/>
      <c r="WAZ47" s="22"/>
      <c r="WBA47" s="22"/>
      <c r="WBB47" s="22"/>
      <c r="WBC47" s="22"/>
      <c r="WBD47" s="22"/>
      <c r="WBE47" s="22"/>
      <c r="WBF47" s="22"/>
      <c r="WBG47" s="22"/>
      <c r="WBH47" s="22"/>
      <c r="WBI47" s="22"/>
      <c r="WBJ47" s="22"/>
      <c r="WBK47" s="22"/>
      <c r="WBL47" s="22"/>
      <c r="WBM47" s="22"/>
      <c r="WBN47" s="22"/>
      <c r="WBO47" s="22"/>
      <c r="WBP47" s="22"/>
      <c r="WBQ47" s="22"/>
      <c r="WBR47" s="22"/>
      <c r="WBS47" s="22"/>
      <c r="WBT47" s="22"/>
      <c r="WBU47" s="22"/>
      <c r="WBV47" s="22"/>
      <c r="WBW47" s="22"/>
      <c r="WBX47" s="22"/>
      <c r="WBY47" s="22"/>
      <c r="WBZ47" s="22"/>
      <c r="WCA47" s="22"/>
      <c r="WCB47" s="22"/>
      <c r="WCC47" s="22"/>
      <c r="WCD47" s="22"/>
      <c r="WCE47" s="22"/>
      <c r="WCF47" s="22"/>
      <c r="WCG47" s="22"/>
      <c r="WCH47" s="22"/>
      <c r="WCI47" s="22"/>
      <c r="WCJ47" s="22"/>
      <c r="WCK47" s="22"/>
      <c r="WCL47" s="22"/>
      <c r="WCM47" s="22"/>
      <c r="WCN47" s="22"/>
      <c r="WCO47" s="22"/>
      <c r="WCP47" s="22"/>
      <c r="WCQ47" s="22"/>
      <c r="WCR47" s="22"/>
      <c r="WCS47" s="22"/>
      <c r="WCT47" s="22"/>
      <c r="WCU47" s="22"/>
      <c r="WCV47" s="22"/>
      <c r="WCW47" s="22"/>
      <c r="WCX47" s="22"/>
      <c r="WCY47" s="22"/>
      <c r="WCZ47" s="22"/>
      <c r="WDA47" s="22"/>
      <c r="WDB47" s="22"/>
      <c r="WDC47" s="22"/>
      <c r="WDD47" s="22"/>
      <c r="WDE47" s="22"/>
      <c r="WDF47" s="22"/>
      <c r="WDG47" s="22"/>
      <c r="WDH47" s="22"/>
      <c r="WDI47" s="22"/>
      <c r="WDJ47" s="22"/>
      <c r="WDK47" s="22"/>
      <c r="WDL47" s="22"/>
      <c r="WDM47" s="22"/>
      <c r="WDN47" s="22"/>
      <c r="WDO47" s="22"/>
      <c r="WDP47" s="22"/>
      <c r="WDQ47" s="22"/>
      <c r="WDR47" s="22"/>
      <c r="WDS47" s="22"/>
      <c r="WDT47" s="22"/>
      <c r="WDU47" s="22"/>
      <c r="WDV47" s="22"/>
      <c r="WDW47" s="22"/>
      <c r="WDX47" s="22"/>
      <c r="WDY47" s="22"/>
      <c r="WDZ47" s="22"/>
      <c r="WEA47" s="22"/>
      <c r="WEB47" s="22"/>
      <c r="WEC47" s="22"/>
      <c r="WED47" s="22"/>
      <c r="WEE47" s="22"/>
      <c r="WEF47" s="22"/>
      <c r="WEG47" s="22"/>
      <c r="WEH47" s="22"/>
      <c r="WEI47" s="22"/>
      <c r="WEJ47" s="22"/>
      <c r="WEK47" s="22"/>
      <c r="WEL47" s="22"/>
      <c r="WEM47" s="22"/>
      <c r="WEN47" s="22"/>
      <c r="WEO47" s="22"/>
      <c r="WEP47" s="22"/>
      <c r="WEQ47" s="22"/>
      <c r="WER47" s="22"/>
      <c r="WES47" s="22"/>
      <c r="WET47" s="22"/>
      <c r="WEU47" s="22"/>
      <c r="WEV47" s="22"/>
      <c r="WEW47" s="22"/>
      <c r="WEX47" s="22"/>
      <c r="WEY47" s="22"/>
      <c r="WEZ47" s="22"/>
      <c r="WFA47" s="22"/>
      <c r="WFB47" s="22"/>
      <c r="WFC47" s="22"/>
      <c r="WFD47" s="22"/>
      <c r="WFE47" s="22"/>
      <c r="WFF47" s="22"/>
      <c r="WFG47" s="22"/>
      <c r="WFH47" s="22"/>
      <c r="WFI47" s="22"/>
      <c r="WFJ47" s="22"/>
      <c r="WFK47" s="22"/>
      <c r="WFL47" s="22"/>
      <c r="WFM47" s="22"/>
      <c r="WFN47" s="22"/>
      <c r="WFO47" s="22"/>
      <c r="WFP47" s="22"/>
      <c r="WFQ47" s="22"/>
      <c r="WFR47" s="22"/>
      <c r="WFS47" s="22"/>
      <c r="WFT47" s="22"/>
      <c r="WFU47" s="22"/>
      <c r="WFV47" s="22"/>
      <c r="WFW47" s="22"/>
      <c r="WFX47" s="22"/>
      <c r="WFY47" s="22"/>
      <c r="WFZ47" s="22"/>
      <c r="WGA47" s="22"/>
      <c r="WGB47" s="22"/>
      <c r="WGC47" s="22"/>
      <c r="WGD47" s="22"/>
      <c r="WGE47" s="22"/>
      <c r="WGF47" s="22"/>
      <c r="WGG47" s="22"/>
      <c r="WGH47" s="22"/>
      <c r="WGI47" s="22"/>
      <c r="WGJ47" s="22"/>
      <c r="WGK47" s="22"/>
      <c r="WGL47" s="22"/>
      <c r="WGM47" s="22"/>
      <c r="WGN47" s="22"/>
      <c r="WGO47" s="22"/>
      <c r="WGP47" s="22"/>
      <c r="WGQ47" s="22"/>
      <c r="WGR47" s="22"/>
      <c r="WGS47" s="22"/>
      <c r="WGT47" s="22"/>
      <c r="WGU47" s="22"/>
      <c r="WGV47" s="22"/>
      <c r="WGW47" s="22"/>
      <c r="WGX47" s="22"/>
      <c r="WGY47" s="22"/>
      <c r="WGZ47" s="22"/>
      <c r="WHA47" s="22"/>
      <c r="WHB47" s="22"/>
      <c r="WHC47" s="22"/>
      <c r="WHD47" s="22"/>
      <c r="WHE47" s="22"/>
      <c r="WHF47" s="22"/>
      <c r="WHG47" s="22"/>
      <c r="WHH47" s="22"/>
      <c r="WHI47" s="22"/>
      <c r="WHJ47" s="22"/>
      <c r="WHK47" s="22"/>
      <c r="WHL47" s="22"/>
      <c r="WHM47" s="22"/>
      <c r="WHN47" s="22"/>
      <c r="WHO47" s="22"/>
      <c r="WHP47" s="22"/>
      <c r="WHQ47" s="22"/>
      <c r="WHR47" s="22"/>
      <c r="WHS47" s="22"/>
      <c r="WHT47" s="22"/>
      <c r="WHU47" s="22"/>
      <c r="WHV47" s="22"/>
      <c r="WHW47" s="22"/>
      <c r="WHX47" s="22"/>
      <c r="WHY47" s="22"/>
      <c r="WHZ47" s="22"/>
      <c r="WIA47" s="22"/>
      <c r="WIB47" s="22"/>
      <c r="WIC47" s="22"/>
      <c r="WID47" s="22"/>
      <c r="WIE47" s="22"/>
      <c r="WIF47" s="22"/>
      <c r="WIG47" s="22"/>
      <c r="WIH47" s="22"/>
      <c r="WII47" s="22"/>
      <c r="WIJ47" s="22"/>
      <c r="WIK47" s="22"/>
      <c r="WIL47" s="22"/>
      <c r="WIM47" s="22"/>
      <c r="WIN47" s="22"/>
      <c r="WIO47" s="22"/>
      <c r="WIP47" s="22"/>
      <c r="WIQ47" s="22"/>
      <c r="WIR47" s="22"/>
      <c r="WIS47" s="22"/>
      <c r="WIT47" s="22"/>
      <c r="WIU47" s="22"/>
      <c r="WIV47" s="22"/>
      <c r="WIW47" s="22"/>
      <c r="WIX47" s="22"/>
      <c r="WIY47" s="22"/>
      <c r="WIZ47" s="22"/>
      <c r="WJA47" s="22"/>
      <c r="WJB47" s="22"/>
      <c r="WJC47" s="22"/>
      <c r="WJD47" s="22"/>
      <c r="WJE47" s="22"/>
      <c r="WJF47" s="22"/>
      <c r="WJG47" s="22"/>
      <c r="WJH47" s="22"/>
      <c r="WJI47" s="22"/>
      <c r="WJJ47" s="22"/>
      <c r="WJK47" s="22"/>
      <c r="WJL47" s="22"/>
      <c r="WJM47" s="22"/>
      <c r="WJN47" s="22"/>
      <c r="WJO47" s="22"/>
      <c r="WJP47" s="22"/>
      <c r="WJQ47" s="22"/>
      <c r="WJR47" s="22"/>
      <c r="WJS47" s="22"/>
      <c r="WJT47" s="22"/>
      <c r="WJU47" s="22"/>
      <c r="WJV47" s="22"/>
      <c r="WJW47" s="22"/>
      <c r="WJX47" s="22"/>
      <c r="WJY47" s="22"/>
      <c r="WJZ47" s="22"/>
      <c r="WKA47" s="22"/>
      <c r="WKB47" s="22"/>
      <c r="WKC47" s="22"/>
      <c r="WKD47" s="22"/>
      <c r="WKE47" s="22"/>
      <c r="WKF47" s="22"/>
      <c r="WKG47" s="22"/>
      <c r="WKH47" s="22"/>
      <c r="WKI47" s="22"/>
      <c r="WKJ47" s="22"/>
      <c r="WKK47" s="22"/>
      <c r="WKL47" s="22"/>
      <c r="WKM47" s="22"/>
      <c r="WKN47" s="22"/>
      <c r="WKO47" s="22"/>
      <c r="WKP47" s="22"/>
      <c r="WKQ47" s="22"/>
      <c r="WKR47" s="22"/>
      <c r="WKS47" s="22"/>
      <c r="WKT47" s="22"/>
      <c r="WKU47" s="22"/>
      <c r="WKV47" s="22"/>
      <c r="WKW47" s="22"/>
      <c r="WKX47" s="22"/>
      <c r="WKY47" s="22"/>
      <c r="WKZ47" s="22"/>
      <c r="WLA47" s="22"/>
      <c r="WLB47" s="22"/>
      <c r="WLC47" s="22"/>
      <c r="WLD47" s="22"/>
      <c r="WLE47" s="22"/>
      <c r="WLF47" s="22"/>
      <c r="WLG47" s="22"/>
      <c r="WLH47" s="22"/>
      <c r="WLI47" s="22"/>
      <c r="WLJ47" s="22"/>
      <c r="WLK47" s="22"/>
      <c r="WLL47" s="22"/>
      <c r="WLM47" s="22"/>
      <c r="WLN47" s="22"/>
      <c r="WLO47" s="22"/>
      <c r="WLP47" s="22"/>
      <c r="WLQ47" s="22"/>
      <c r="WLR47" s="22"/>
      <c r="WLS47" s="22"/>
      <c r="WLT47" s="22"/>
      <c r="WLU47" s="22"/>
      <c r="WLV47" s="22"/>
      <c r="WLW47" s="22"/>
      <c r="WLX47" s="22"/>
      <c r="WLY47" s="22"/>
      <c r="WLZ47" s="22"/>
      <c r="WMA47" s="22"/>
      <c r="WMB47" s="22"/>
      <c r="WMC47" s="22"/>
      <c r="WMD47" s="22"/>
      <c r="WME47" s="22"/>
      <c r="WMF47" s="22"/>
      <c r="WMG47" s="22"/>
      <c r="WMH47" s="22"/>
      <c r="WMI47" s="22"/>
      <c r="WMJ47" s="22"/>
      <c r="WMK47" s="22"/>
      <c r="WML47" s="22"/>
      <c r="WMM47" s="22"/>
      <c r="WMN47" s="22"/>
      <c r="WMO47" s="22"/>
      <c r="WMP47" s="22"/>
      <c r="WMQ47" s="22"/>
      <c r="WMR47" s="22"/>
      <c r="WMS47" s="22"/>
      <c r="WMT47" s="22"/>
      <c r="WMU47" s="22"/>
      <c r="WMV47" s="22"/>
      <c r="WMW47" s="22"/>
      <c r="WMX47" s="22"/>
      <c r="WMY47" s="22"/>
      <c r="WMZ47" s="22"/>
      <c r="WNA47" s="22"/>
      <c r="WNB47" s="22"/>
      <c r="WNC47" s="22"/>
      <c r="WND47" s="22"/>
      <c r="WNE47" s="22"/>
      <c r="WNF47" s="22"/>
      <c r="WNG47" s="22"/>
      <c r="WNH47" s="22"/>
      <c r="WNI47" s="22"/>
      <c r="WNJ47" s="22"/>
      <c r="WNK47" s="22"/>
      <c r="WNL47" s="22"/>
      <c r="WNM47" s="22"/>
      <c r="WNN47" s="22"/>
      <c r="WNO47" s="22"/>
      <c r="WNP47" s="22"/>
      <c r="WNQ47" s="22"/>
      <c r="WNR47" s="22"/>
      <c r="WNS47" s="22"/>
      <c r="WNT47" s="22"/>
      <c r="WNU47" s="22"/>
      <c r="WNV47" s="22"/>
      <c r="WNW47" s="22"/>
      <c r="WNX47" s="22"/>
      <c r="WNY47" s="22"/>
      <c r="WNZ47" s="22"/>
      <c r="WOA47" s="22"/>
      <c r="WOB47" s="22"/>
      <c r="WOC47" s="22"/>
      <c r="WOD47" s="22"/>
      <c r="WOE47" s="22"/>
      <c r="WOF47" s="22"/>
      <c r="WOG47" s="22"/>
      <c r="WOH47" s="22"/>
      <c r="WOI47" s="22"/>
      <c r="WOJ47" s="22"/>
      <c r="WOK47" s="22"/>
      <c r="WOL47" s="22"/>
      <c r="WOM47" s="22"/>
      <c r="WON47" s="22"/>
      <c r="WOO47" s="22"/>
      <c r="WOP47" s="22"/>
      <c r="WOQ47" s="22"/>
      <c r="WOR47" s="22"/>
      <c r="WOS47" s="22"/>
      <c r="WOT47" s="22"/>
      <c r="WOU47" s="22"/>
      <c r="WOV47" s="22"/>
      <c r="WOW47" s="22"/>
      <c r="WOX47" s="22"/>
      <c r="WOY47" s="22"/>
      <c r="WOZ47" s="22"/>
      <c r="WPA47" s="22"/>
      <c r="WPB47" s="22"/>
      <c r="WPC47" s="22"/>
      <c r="WPD47" s="22"/>
      <c r="WPE47" s="22"/>
      <c r="WPF47" s="22"/>
      <c r="WPG47" s="22"/>
      <c r="WPH47" s="22"/>
      <c r="WPI47" s="22"/>
      <c r="WPJ47" s="22"/>
      <c r="WPK47" s="22"/>
      <c r="WPL47" s="22"/>
      <c r="WPM47" s="22"/>
      <c r="WPN47" s="22"/>
      <c r="WPO47" s="22"/>
      <c r="WPP47" s="22"/>
      <c r="WPQ47" s="22"/>
      <c r="WPR47" s="22"/>
      <c r="WPS47" s="22"/>
      <c r="WPT47" s="22"/>
      <c r="WPU47" s="22"/>
      <c r="WPV47" s="22"/>
      <c r="WPW47" s="22"/>
      <c r="WPX47" s="22"/>
      <c r="WPY47" s="22"/>
      <c r="WPZ47" s="22"/>
      <c r="WQA47" s="22"/>
      <c r="WQB47" s="22"/>
      <c r="WQC47" s="22"/>
      <c r="WQD47" s="22"/>
      <c r="WQE47" s="22"/>
      <c r="WQF47" s="22"/>
      <c r="WQG47" s="22"/>
      <c r="WQH47" s="22"/>
      <c r="WQI47" s="22"/>
      <c r="WQJ47" s="22"/>
      <c r="WQK47" s="22"/>
      <c r="WQL47" s="22"/>
      <c r="WQM47" s="22"/>
      <c r="WQN47" s="22"/>
      <c r="WQO47" s="22"/>
      <c r="WQP47" s="22"/>
      <c r="WQQ47" s="22"/>
      <c r="WQR47" s="22"/>
      <c r="WQS47" s="22"/>
      <c r="WQT47" s="22"/>
      <c r="WQU47" s="22"/>
      <c r="WQV47" s="22"/>
      <c r="WQW47" s="22"/>
      <c r="WQX47" s="22"/>
      <c r="WQY47" s="22"/>
      <c r="WQZ47" s="22"/>
      <c r="WRA47" s="22"/>
      <c r="WRB47" s="22"/>
      <c r="WRC47" s="22"/>
      <c r="WRD47" s="22"/>
      <c r="WRE47" s="22"/>
      <c r="WRF47" s="22"/>
      <c r="WRG47" s="22"/>
      <c r="WRH47" s="22"/>
      <c r="WRI47" s="22"/>
      <c r="WRJ47" s="22"/>
      <c r="WRK47" s="22"/>
      <c r="WRL47" s="22"/>
      <c r="WRM47" s="22"/>
      <c r="WRN47" s="22"/>
      <c r="WRO47" s="22"/>
      <c r="WRP47" s="22"/>
      <c r="WRQ47" s="22"/>
      <c r="WRR47" s="22"/>
      <c r="WRS47" s="22"/>
      <c r="WRT47" s="22"/>
      <c r="WRU47" s="22"/>
      <c r="WRV47" s="22"/>
      <c r="WRW47" s="22"/>
      <c r="WRX47" s="22"/>
      <c r="WRY47" s="22"/>
      <c r="WRZ47" s="22"/>
      <c r="WSA47" s="22"/>
      <c r="WSB47" s="22"/>
      <c r="WSC47" s="22"/>
      <c r="WSD47" s="22"/>
      <c r="WSE47" s="22"/>
      <c r="WSF47" s="22"/>
      <c r="WSG47" s="22"/>
      <c r="WSH47" s="22"/>
      <c r="WSI47" s="22"/>
      <c r="WSJ47" s="22"/>
      <c r="WSK47" s="22"/>
      <c r="WSL47" s="22"/>
      <c r="WSM47" s="22"/>
      <c r="WSN47" s="22"/>
      <c r="WSO47" s="22"/>
      <c r="WSP47" s="22"/>
      <c r="WSQ47" s="22"/>
      <c r="WSR47" s="22"/>
      <c r="WSS47" s="22"/>
      <c r="WST47" s="22"/>
      <c r="WSU47" s="22"/>
      <c r="WSV47" s="22"/>
      <c r="WSW47" s="22"/>
      <c r="WSX47" s="22"/>
      <c r="WSY47" s="22"/>
      <c r="WSZ47" s="22"/>
      <c r="WTA47" s="22"/>
      <c r="WTB47" s="22"/>
      <c r="WTC47" s="22"/>
      <c r="WTD47" s="22"/>
      <c r="WTE47" s="22"/>
      <c r="WTF47" s="22"/>
      <c r="WTG47" s="22"/>
      <c r="WTH47" s="22"/>
      <c r="WTI47" s="22"/>
      <c r="WTJ47" s="22"/>
      <c r="WTK47" s="22"/>
      <c r="WTL47" s="22"/>
      <c r="WTM47" s="22"/>
      <c r="WTN47" s="22"/>
      <c r="WTO47" s="22"/>
      <c r="WTP47" s="22"/>
      <c r="WTQ47" s="22"/>
      <c r="WTR47" s="22"/>
      <c r="WTS47" s="22"/>
      <c r="WTT47" s="22"/>
      <c r="WTU47" s="22"/>
      <c r="WTV47" s="22"/>
      <c r="WTW47" s="22"/>
      <c r="WTX47" s="22"/>
      <c r="WTY47" s="22"/>
      <c r="WTZ47" s="22"/>
      <c r="WUA47" s="22"/>
      <c r="WUB47" s="22"/>
      <c r="WUC47" s="22"/>
      <c r="WUD47" s="22"/>
      <c r="WUE47" s="22"/>
      <c r="WUF47" s="22"/>
      <c r="WUG47" s="22"/>
      <c r="WUH47" s="22"/>
      <c r="WUI47" s="22"/>
      <c r="WUJ47" s="22"/>
      <c r="WUK47" s="22"/>
      <c r="WUL47" s="22"/>
      <c r="WUM47" s="22"/>
      <c r="WUN47" s="22"/>
      <c r="WUO47" s="22"/>
      <c r="WUP47" s="22"/>
      <c r="WUQ47" s="22"/>
      <c r="WUR47" s="22"/>
      <c r="WUS47" s="22"/>
      <c r="WUT47" s="22"/>
      <c r="WUU47" s="22"/>
      <c r="WUV47" s="22"/>
      <c r="WUW47" s="22"/>
      <c r="WUX47" s="22"/>
      <c r="WUY47" s="22"/>
      <c r="WUZ47" s="22"/>
      <c r="WVA47" s="22"/>
      <c r="WVB47" s="22"/>
      <c r="WVC47" s="22"/>
      <c r="WVD47" s="22"/>
      <c r="WVE47" s="22"/>
      <c r="WVF47" s="22"/>
      <c r="WVG47" s="22"/>
      <c r="WVH47" s="22"/>
      <c r="WVI47" s="22"/>
      <c r="WVJ47" s="22"/>
      <c r="WVK47" s="22"/>
      <c r="WVL47" s="22"/>
      <c r="WVM47" s="22"/>
      <c r="WVN47" s="22"/>
      <c r="WVO47" s="22"/>
      <c r="WVP47" s="22"/>
      <c r="WVQ47" s="22"/>
      <c r="WVR47" s="22"/>
      <c r="WVS47" s="22"/>
      <c r="WVT47" s="22"/>
      <c r="WVU47" s="22"/>
      <c r="WVV47" s="22"/>
      <c r="WVW47" s="22"/>
      <c r="WVX47" s="22"/>
      <c r="WVY47" s="22"/>
      <c r="WVZ47" s="22"/>
      <c r="WWA47" s="22"/>
      <c r="WWB47" s="22"/>
      <c r="WWC47" s="22"/>
      <c r="WWD47" s="22"/>
      <c r="WWE47" s="22"/>
      <c r="WWF47" s="22"/>
      <c r="WWG47" s="22"/>
      <c r="WWH47" s="22"/>
      <c r="WWI47" s="22"/>
      <c r="WWJ47" s="22"/>
      <c r="WWK47" s="22"/>
      <c r="WWL47" s="22"/>
      <c r="WWM47" s="22"/>
      <c r="WWN47" s="22"/>
      <c r="WWO47" s="22"/>
      <c r="WWP47" s="22"/>
      <c r="WWQ47" s="22"/>
      <c r="WWR47" s="22"/>
      <c r="WWS47" s="22"/>
      <c r="WWT47" s="22"/>
      <c r="WWU47" s="22"/>
      <c r="WWV47" s="22"/>
      <c r="WWW47" s="22"/>
      <c r="WWX47" s="22"/>
      <c r="WWY47" s="22"/>
      <c r="WWZ47" s="22"/>
      <c r="WXA47" s="22"/>
      <c r="WXB47" s="22"/>
      <c r="WXC47" s="22"/>
      <c r="WXD47" s="22"/>
      <c r="WXE47" s="22"/>
      <c r="WXF47" s="22"/>
      <c r="WXG47" s="22"/>
      <c r="WXH47" s="22"/>
      <c r="WXI47" s="22"/>
      <c r="WXJ47" s="22"/>
      <c r="WXK47" s="22"/>
      <c r="WXL47" s="22"/>
      <c r="WXM47" s="22"/>
      <c r="WXN47" s="22"/>
      <c r="WXO47" s="22"/>
      <c r="WXP47" s="22"/>
      <c r="WXQ47" s="22"/>
      <c r="WXR47" s="22"/>
      <c r="WXS47" s="22"/>
      <c r="WXT47" s="22"/>
      <c r="WXU47" s="22"/>
      <c r="WXV47" s="22"/>
      <c r="WXW47" s="22"/>
      <c r="WXX47" s="22"/>
      <c r="WXY47" s="22"/>
      <c r="WXZ47" s="22"/>
      <c r="WYA47" s="22"/>
      <c r="WYB47" s="22"/>
      <c r="WYC47" s="22"/>
      <c r="WYD47" s="22"/>
      <c r="WYE47" s="22"/>
      <c r="WYF47" s="22"/>
      <c r="WYG47" s="22"/>
      <c r="WYH47" s="22"/>
      <c r="WYI47" s="22"/>
      <c r="WYJ47" s="22"/>
      <c r="WYK47" s="22"/>
      <c r="WYL47" s="22"/>
      <c r="WYM47" s="22"/>
      <c r="WYN47" s="22"/>
      <c r="WYO47" s="22"/>
      <c r="WYP47" s="22"/>
      <c r="WYQ47" s="22"/>
      <c r="WYR47" s="22"/>
      <c r="WYS47" s="22"/>
      <c r="WYT47" s="22"/>
      <c r="WYU47" s="22"/>
      <c r="WYV47" s="22"/>
      <c r="WYW47" s="22"/>
      <c r="WYX47" s="22"/>
      <c r="WYY47" s="22"/>
      <c r="WYZ47" s="22"/>
      <c r="WZA47" s="22"/>
      <c r="WZB47" s="22"/>
      <c r="WZC47" s="22"/>
      <c r="WZD47" s="22"/>
      <c r="WZE47" s="22"/>
      <c r="WZF47" s="22"/>
      <c r="WZG47" s="22"/>
      <c r="WZH47" s="22"/>
      <c r="WZI47" s="22"/>
      <c r="WZJ47" s="22"/>
      <c r="WZK47" s="22"/>
      <c r="WZL47" s="22"/>
      <c r="WZM47" s="22"/>
      <c r="WZN47" s="22"/>
      <c r="WZO47" s="22"/>
      <c r="WZP47" s="22"/>
      <c r="WZQ47" s="22"/>
      <c r="WZR47" s="22"/>
      <c r="WZS47" s="22"/>
      <c r="WZT47" s="22"/>
      <c r="WZU47" s="22"/>
      <c r="WZV47" s="22"/>
      <c r="WZW47" s="22"/>
      <c r="WZX47" s="22"/>
      <c r="WZY47" s="22"/>
      <c r="WZZ47" s="22"/>
      <c r="XAA47" s="22"/>
      <c r="XAB47" s="22"/>
      <c r="XAC47" s="22"/>
      <c r="XAD47" s="22"/>
      <c r="XAE47" s="22"/>
      <c r="XAF47" s="22"/>
      <c r="XAG47" s="22"/>
      <c r="XAH47" s="22"/>
      <c r="XAI47" s="22"/>
      <c r="XAJ47" s="22"/>
      <c r="XAK47" s="22"/>
      <c r="XAL47" s="22"/>
      <c r="XAM47" s="22"/>
      <c r="XAN47" s="22"/>
      <c r="XAO47" s="22"/>
      <c r="XAP47" s="22"/>
      <c r="XAQ47" s="22"/>
      <c r="XAR47" s="22"/>
      <c r="XAS47" s="22"/>
      <c r="XAT47" s="22"/>
      <c r="XAU47" s="22"/>
      <c r="XAV47" s="22"/>
      <c r="XAW47" s="22"/>
      <c r="XAX47" s="22"/>
      <c r="XAY47" s="22"/>
      <c r="XAZ47" s="22"/>
      <c r="XBA47" s="22"/>
      <c r="XBB47" s="22"/>
      <c r="XBC47" s="22"/>
      <c r="XBD47" s="22"/>
      <c r="XBE47" s="22"/>
      <c r="XBF47" s="22"/>
      <c r="XBG47" s="22"/>
      <c r="XBH47" s="22"/>
      <c r="XBI47" s="22"/>
      <c r="XBJ47" s="22"/>
      <c r="XBK47" s="22"/>
      <c r="XBL47" s="22"/>
      <c r="XBM47" s="22"/>
      <c r="XBN47" s="22"/>
      <c r="XBO47" s="22"/>
      <c r="XBP47" s="22"/>
      <c r="XBQ47" s="22"/>
      <c r="XBR47" s="22"/>
      <c r="XBS47" s="22"/>
      <c r="XBT47" s="22"/>
      <c r="XBU47" s="22"/>
      <c r="XBV47" s="22"/>
      <c r="XBW47" s="22"/>
      <c r="XBX47" s="22"/>
      <c r="XBY47" s="22"/>
      <c r="XBZ47" s="22"/>
      <c r="XCA47" s="22"/>
      <c r="XCB47" s="22"/>
      <c r="XCC47" s="22"/>
      <c r="XCD47" s="22"/>
      <c r="XCE47" s="22"/>
      <c r="XCF47" s="22"/>
      <c r="XCG47" s="22"/>
      <c r="XCH47" s="22"/>
      <c r="XCI47" s="22"/>
      <c r="XCJ47" s="22"/>
      <c r="XCK47" s="22"/>
      <c r="XCL47" s="22"/>
      <c r="XCM47" s="22"/>
      <c r="XCN47" s="22"/>
      <c r="XCO47" s="22"/>
      <c r="XCP47" s="22"/>
      <c r="XCQ47" s="22"/>
      <c r="XCR47" s="22"/>
      <c r="XCS47" s="22"/>
      <c r="XCT47" s="22"/>
      <c r="XCU47" s="22"/>
      <c r="XCV47" s="22"/>
      <c r="XCW47" s="22"/>
      <c r="XCX47" s="22"/>
      <c r="XCY47" s="22"/>
      <c r="XCZ47" s="22"/>
      <c r="XDA47" s="22"/>
      <c r="XDB47" s="22"/>
      <c r="XDC47" s="22"/>
      <c r="XDD47" s="22"/>
      <c r="XDE47" s="22"/>
      <c r="XDF47" s="22"/>
      <c r="XDG47" s="22"/>
      <c r="XDH47" s="22"/>
      <c r="XDI47" s="22"/>
      <c r="XDJ47" s="22"/>
      <c r="XDK47" s="22"/>
      <c r="XDL47" s="22"/>
      <c r="XDM47" s="22"/>
      <c r="XDN47" s="22"/>
      <c r="XDO47" s="22"/>
      <c r="XDP47" s="22"/>
      <c r="XDQ47" s="22"/>
      <c r="XDR47" s="22"/>
      <c r="XDS47" s="22"/>
      <c r="XDT47" s="22"/>
      <c r="XDU47" s="22"/>
      <c r="XDV47" s="22"/>
      <c r="XDW47" s="22"/>
      <c r="XDX47" s="22"/>
      <c r="XDY47" s="22"/>
      <c r="XDZ47" s="22"/>
      <c r="XEA47" s="22"/>
      <c r="XEB47" s="22"/>
      <c r="XEC47" s="22"/>
      <c r="XED47" s="22"/>
      <c r="XEE47" s="22"/>
      <c r="XEF47" s="22"/>
      <c r="XEG47" s="22"/>
      <c r="XEH47" s="22"/>
      <c r="XEI47" s="22"/>
      <c r="XEJ47" s="22"/>
      <c r="XEK47" s="22"/>
      <c r="XEL47" s="22"/>
      <c r="XEM47" s="22"/>
      <c r="XEN47" s="22"/>
      <c r="XEO47" s="22"/>
      <c r="XEP47" s="22"/>
      <c r="XEQ47" s="22"/>
      <c r="XER47" s="22"/>
      <c r="XES47" s="22"/>
      <c r="XET47" s="22"/>
      <c r="XEU47" s="22"/>
      <c r="XEV47" s="22"/>
      <c r="XEW47" s="22"/>
      <c r="XEX47" s="22"/>
      <c r="XEY47" s="22"/>
      <c r="XEZ47" s="22"/>
      <c r="XFA47" s="22"/>
      <c r="XFB47" s="22"/>
      <c r="XFC47" s="22"/>
      <c r="XFD47" s="22"/>
    </row>
    <row r="48" spans="1:16384" s="251" customFormat="1" x14ac:dyDescent="0.25">
      <c r="A48" s="124" t="s">
        <v>359</v>
      </c>
      <c r="B48" s="259" t="s">
        <v>60</v>
      </c>
      <c r="C48" s="69" t="s">
        <v>403</v>
      </c>
      <c r="D48" s="69" t="s">
        <v>380</v>
      </c>
      <c r="E48" s="398">
        <v>16</v>
      </c>
      <c r="F48" s="73" t="s">
        <v>123</v>
      </c>
      <c r="G48" s="408">
        <f>94.88*12/'Average wages'!B12</f>
        <v>2.4903546839539444E-2</v>
      </c>
      <c r="H48" s="398">
        <v>0</v>
      </c>
      <c r="I48" s="119" t="s">
        <v>377</v>
      </c>
      <c r="J48" s="533" t="s">
        <v>95</v>
      </c>
      <c r="K48" s="122" t="s">
        <v>95</v>
      </c>
      <c r="L48" s="112" t="s">
        <v>95</v>
      </c>
    </row>
    <row r="49" spans="1:12" s="22" customFormat="1" ht="23.5" x14ac:dyDescent="0.25">
      <c r="A49" s="124" t="s">
        <v>362</v>
      </c>
      <c r="B49" s="130" t="s">
        <v>60</v>
      </c>
      <c r="C49" s="326" t="s">
        <v>404</v>
      </c>
      <c r="D49" s="326" t="s">
        <v>380</v>
      </c>
      <c r="E49" s="399">
        <v>16</v>
      </c>
      <c r="F49" s="191" t="s">
        <v>416</v>
      </c>
      <c r="G49" s="409">
        <f>63.3*12/'Average wages'!B12</f>
        <v>1.6614613353107575E-2</v>
      </c>
      <c r="H49" s="399">
        <v>0</v>
      </c>
      <c r="I49" s="127">
        <v>0</v>
      </c>
      <c r="J49" s="535" t="s">
        <v>95</v>
      </c>
      <c r="K49" s="120" t="s">
        <v>95</v>
      </c>
      <c r="L49" s="330" t="s">
        <v>95</v>
      </c>
    </row>
    <row r="50" spans="1:12" s="22" customFormat="1" ht="23" x14ac:dyDescent="0.25">
      <c r="A50" s="124"/>
      <c r="B50" s="130" t="s">
        <v>60</v>
      </c>
      <c r="C50" s="326" t="s">
        <v>1322</v>
      </c>
      <c r="D50" s="326" t="s">
        <v>380</v>
      </c>
      <c r="E50" s="399">
        <v>6</v>
      </c>
      <c r="F50" s="191" t="s">
        <v>1323</v>
      </c>
      <c r="G50" s="409">
        <f>341.69*12/'Average wages'!B12</f>
        <v>8.9684790467983055E-2</v>
      </c>
      <c r="H50" s="399" t="s">
        <v>1324</v>
      </c>
      <c r="I50" s="127" t="s">
        <v>1325</v>
      </c>
      <c r="J50" s="535" t="s">
        <v>95</v>
      </c>
      <c r="K50" s="120" t="s">
        <v>95</v>
      </c>
      <c r="L50" s="330" t="s">
        <v>95</v>
      </c>
    </row>
    <row r="51" spans="1:12" s="22" customFormat="1" ht="46" x14ac:dyDescent="0.25">
      <c r="A51" s="124"/>
      <c r="B51" s="130" t="s">
        <v>60</v>
      </c>
      <c r="C51" s="326" t="s">
        <v>1326</v>
      </c>
      <c r="D51" s="326" t="s">
        <v>376</v>
      </c>
      <c r="E51" s="399">
        <v>2</v>
      </c>
      <c r="F51" s="191" t="s">
        <v>1327</v>
      </c>
      <c r="G51" s="409">
        <f>182.66*12/'Average wages'!B12</f>
        <v>4.7943527252427016E-2</v>
      </c>
      <c r="H51" s="399">
        <v>0</v>
      </c>
      <c r="I51" s="127" t="s">
        <v>136</v>
      </c>
      <c r="J51" s="535" t="str">
        <f>"Gross earnings including some benefits below EUR 1160-1700 per month depending on family type ("&amp;TEXT(1160*12/'Average wages'!B12,"0%")&amp;"-"&amp;TEXT(1700*12/'Average wages'!B12,"0%")&amp;" of AW)"</f>
        <v>Gross earnings including some benefits below EUR 1160-1700 per month depending on family type (30%-45% of AW)</v>
      </c>
      <c r="K51" s="120" t="s">
        <v>1328</v>
      </c>
      <c r="L51" s="330" t="s">
        <v>123</v>
      </c>
    </row>
    <row r="52" spans="1:12" s="22" customFormat="1" ht="23" x14ac:dyDescent="0.25">
      <c r="A52" s="124"/>
      <c r="B52" s="130" t="s">
        <v>1304</v>
      </c>
      <c r="C52" s="326" t="s">
        <v>1329</v>
      </c>
      <c r="D52" s="326" t="s">
        <v>380</v>
      </c>
      <c r="E52" s="401">
        <v>1.5</v>
      </c>
      <c r="F52" s="191" t="s">
        <v>1330</v>
      </c>
      <c r="G52" s="409">
        <f>264*12/'Average wages'!B12</f>
        <v>6.9293174174097943E-2</v>
      </c>
      <c r="H52" s="399">
        <v>0</v>
      </c>
      <c r="I52" s="127" t="s">
        <v>136</v>
      </c>
      <c r="J52" s="535" t="s">
        <v>95</v>
      </c>
      <c r="K52" s="120" t="s">
        <v>95</v>
      </c>
      <c r="L52" s="330" t="s">
        <v>95</v>
      </c>
    </row>
    <row r="53" spans="1:12" s="22" customFormat="1" ht="23" x14ac:dyDescent="0.25">
      <c r="A53" s="124"/>
      <c r="B53" s="130" t="s">
        <v>60</v>
      </c>
      <c r="C53" s="326" t="s">
        <v>1331</v>
      </c>
      <c r="D53" s="326" t="s">
        <v>380</v>
      </c>
      <c r="E53" s="401">
        <v>2</v>
      </c>
      <c r="F53" s="191" t="s">
        <v>1332</v>
      </c>
      <c r="G53" s="409">
        <f>243.58*12/'Average wages'!B12</f>
        <v>6.3933452141389319E-2</v>
      </c>
      <c r="H53" s="399">
        <v>0</v>
      </c>
      <c r="I53" s="127" t="s">
        <v>136</v>
      </c>
      <c r="J53" s="535" t="s">
        <v>95</v>
      </c>
      <c r="K53" s="120" t="s">
        <v>95</v>
      </c>
      <c r="L53" s="330" t="s">
        <v>95</v>
      </c>
    </row>
    <row r="54" spans="1:12" s="22" customFormat="1" ht="23" x14ac:dyDescent="0.25">
      <c r="A54" s="124"/>
      <c r="B54" s="130" t="s">
        <v>60</v>
      </c>
      <c r="C54" s="326" t="s">
        <v>1333</v>
      </c>
      <c r="D54" s="326" t="s">
        <v>380</v>
      </c>
      <c r="E54" s="401">
        <v>8</v>
      </c>
      <c r="F54" s="191" t="s">
        <v>1332</v>
      </c>
      <c r="G54" s="409">
        <f>97.85*12/'Average wages'!B12</f>
        <v>2.5683095048998041E-2</v>
      </c>
      <c r="H54" s="399">
        <v>0</v>
      </c>
      <c r="I54" s="127" t="s">
        <v>136</v>
      </c>
      <c r="J54" s="535" t="s">
        <v>95</v>
      </c>
      <c r="K54" s="120" t="s">
        <v>95</v>
      </c>
      <c r="L54" s="330" t="s">
        <v>95</v>
      </c>
    </row>
    <row r="55" spans="1:12" s="237" customFormat="1" ht="23" x14ac:dyDescent="0.25">
      <c r="A55" s="124" t="s">
        <v>363</v>
      </c>
      <c r="B55" s="335" t="s">
        <v>60</v>
      </c>
      <c r="C55" s="328" t="s">
        <v>656</v>
      </c>
      <c r="D55" s="328" t="s">
        <v>380</v>
      </c>
      <c r="E55" s="400">
        <v>17</v>
      </c>
      <c r="F55" s="232" t="s">
        <v>1334</v>
      </c>
      <c r="G55" s="305">
        <f>167.01*12/'Average wages'!B12</f>
        <v>4.3835806889454917E-2</v>
      </c>
      <c r="H55" s="400">
        <v>0</v>
      </c>
      <c r="I55" s="129">
        <v>0</v>
      </c>
      <c r="J55" s="523" t="s">
        <v>95</v>
      </c>
      <c r="K55" s="524" t="s">
        <v>95</v>
      </c>
      <c r="L55" s="332" t="s">
        <v>95</v>
      </c>
    </row>
    <row r="56" spans="1:12" ht="34.5" x14ac:dyDescent="0.25">
      <c r="A56" s="317" t="s">
        <v>359</v>
      </c>
      <c r="B56" s="221" t="s">
        <v>61</v>
      </c>
      <c r="C56" s="209" t="s">
        <v>405</v>
      </c>
      <c r="D56" s="209" t="s">
        <v>380</v>
      </c>
      <c r="E56" s="398">
        <v>19</v>
      </c>
      <c r="F56" s="215" t="s">
        <v>995</v>
      </c>
      <c r="G56" s="408" t="str">
        <f>TEXT((131.55*12)/'Average wages'!$B$13,"0.0%") &amp; " * "</f>
        <v xml:space="preserve">4.1% * </v>
      </c>
      <c r="H56" s="398" t="s">
        <v>377</v>
      </c>
      <c r="I56" s="119" t="s">
        <v>855</v>
      </c>
      <c r="J56" s="533" t="s">
        <v>95</v>
      </c>
      <c r="K56" s="122" t="s">
        <v>95</v>
      </c>
      <c r="L56" s="112" t="s">
        <v>95</v>
      </c>
    </row>
    <row r="57" spans="1:12" ht="34.5" x14ac:dyDescent="0.25">
      <c r="A57" s="317" t="s">
        <v>360</v>
      </c>
      <c r="B57" s="222" t="s">
        <v>61</v>
      </c>
      <c r="C57" s="210" t="s">
        <v>406</v>
      </c>
      <c r="D57" s="210" t="s">
        <v>376</v>
      </c>
      <c r="E57" s="399">
        <v>2</v>
      </c>
      <c r="F57" s="216" t="s">
        <v>123</v>
      </c>
      <c r="G57" s="409">
        <f>(184.62*12)/'Average wages'!$B$13</f>
        <v>5.8014127106303839E-2</v>
      </c>
      <c r="H57" s="399">
        <v>0</v>
      </c>
      <c r="I57" s="127">
        <v>0</v>
      </c>
      <c r="J57" s="320" t="s">
        <v>407</v>
      </c>
      <c r="K57" s="120" t="s">
        <v>865</v>
      </c>
      <c r="L57" s="330" t="s">
        <v>104</v>
      </c>
    </row>
    <row r="58" spans="1:12" ht="34.5" x14ac:dyDescent="0.25">
      <c r="A58" s="317" t="s">
        <v>361</v>
      </c>
      <c r="B58" s="222" t="s">
        <v>61</v>
      </c>
      <c r="C58" s="210" t="s">
        <v>727</v>
      </c>
      <c r="D58" s="210" t="s">
        <v>376</v>
      </c>
      <c r="E58" s="399" t="s">
        <v>840</v>
      </c>
      <c r="F58" s="216" t="s">
        <v>994</v>
      </c>
      <c r="G58" s="409" t="str">
        <f>TEXT((256.85 *12)/'Average wages'!$B$13,"0.0%") &amp; " ** "</f>
        <v xml:space="preserve">8.1% ** </v>
      </c>
      <c r="H58" s="399">
        <v>0</v>
      </c>
      <c r="I58" s="127">
        <v>0</v>
      </c>
      <c r="J58" s="320" t="s">
        <v>407</v>
      </c>
      <c r="K58" s="120" t="s">
        <v>865</v>
      </c>
      <c r="L58" s="330" t="s">
        <v>104</v>
      </c>
    </row>
    <row r="59" spans="1:12" ht="34.5" x14ac:dyDescent="0.25">
      <c r="A59" s="317" t="s">
        <v>364</v>
      </c>
      <c r="B59" s="222" t="s">
        <v>61</v>
      </c>
      <c r="C59" s="210" t="s">
        <v>408</v>
      </c>
      <c r="D59" s="210" t="s">
        <v>376</v>
      </c>
      <c r="E59" s="399" t="s">
        <v>841</v>
      </c>
      <c r="F59" s="216" t="s">
        <v>123</v>
      </c>
      <c r="G59" s="409">
        <f>(389.19)/'Average wages'!$B$13</f>
        <v>1.0191437424846708E-2</v>
      </c>
      <c r="H59" s="399" t="s">
        <v>377</v>
      </c>
      <c r="I59" s="127">
        <v>0</v>
      </c>
      <c r="J59" s="320" t="s">
        <v>407</v>
      </c>
      <c r="K59" s="120" t="s">
        <v>865</v>
      </c>
      <c r="L59" s="330" t="s">
        <v>104</v>
      </c>
    </row>
    <row r="60" spans="1:12" ht="24" x14ac:dyDescent="0.25">
      <c r="A60" s="124" t="s">
        <v>363</v>
      </c>
      <c r="B60" s="222" t="s">
        <v>61</v>
      </c>
      <c r="C60" s="210" t="s">
        <v>409</v>
      </c>
      <c r="D60" s="210" t="s">
        <v>380</v>
      </c>
      <c r="E60" s="399">
        <v>19</v>
      </c>
      <c r="F60" s="216" t="s">
        <v>416</v>
      </c>
      <c r="G60" s="409">
        <f>(115.64*12)/'Average wages'!$B$13</f>
        <v>3.6338173862923713E-2</v>
      </c>
      <c r="H60" s="399">
        <v>0</v>
      </c>
      <c r="I60" s="127">
        <v>0</v>
      </c>
      <c r="J60" s="535" t="s">
        <v>95</v>
      </c>
      <c r="K60" s="120" t="s">
        <v>95</v>
      </c>
      <c r="L60" s="330" t="s">
        <v>95</v>
      </c>
    </row>
    <row r="61" spans="1:12" ht="23" x14ac:dyDescent="0.25">
      <c r="A61" s="124" t="s">
        <v>361</v>
      </c>
      <c r="B61" s="325" t="s">
        <v>62</v>
      </c>
      <c r="C61" s="69" t="s">
        <v>1171</v>
      </c>
      <c r="D61" s="336" t="s">
        <v>380</v>
      </c>
      <c r="E61" s="398" t="s">
        <v>410</v>
      </c>
      <c r="F61" s="73" t="s">
        <v>1172</v>
      </c>
      <c r="G61" s="408">
        <f>204*12/'Average wages'!B14</f>
        <v>4.6983105737243701E-2</v>
      </c>
      <c r="H61" s="398">
        <v>0</v>
      </c>
      <c r="I61" s="128" t="s">
        <v>602</v>
      </c>
      <c r="J61" s="196" t="s">
        <v>95</v>
      </c>
      <c r="K61" s="123" t="s">
        <v>95</v>
      </c>
      <c r="L61" s="112" t="s">
        <v>95</v>
      </c>
    </row>
    <row r="62" spans="1:12" ht="57.5" x14ac:dyDescent="0.25">
      <c r="A62" s="124" t="s">
        <v>362</v>
      </c>
      <c r="B62" s="130" t="s">
        <v>62</v>
      </c>
      <c r="C62" s="326" t="s">
        <v>1173</v>
      </c>
      <c r="D62" s="326" t="s">
        <v>376</v>
      </c>
      <c r="E62" s="399" t="s">
        <v>410</v>
      </c>
      <c r="F62" s="191" t="s">
        <v>1174</v>
      </c>
      <c r="G62" s="409">
        <f>185*12/'Average wages'!B14</f>
        <v>4.2607228242108254E-2</v>
      </c>
      <c r="H62" s="399">
        <v>0</v>
      </c>
      <c r="I62" s="127">
        <v>0</v>
      </c>
      <c r="J62" s="535" t="s">
        <v>861</v>
      </c>
      <c r="K62" s="120">
        <v>0.45</v>
      </c>
      <c r="L62" s="330" t="s">
        <v>248</v>
      </c>
    </row>
    <row r="63" spans="1:12" ht="80.5" x14ac:dyDescent="0.25">
      <c r="A63" s="124" t="s">
        <v>363</v>
      </c>
      <c r="B63" s="130" t="s">
        <v>62</v>
      </c>
      <c r="C63" s="326" t="s">
        <v>411</v>
      </c>
      <c r="D63" s="326" t="s">
        <v>376</v>
      </c>
      <c r="E63" s="399" t="s">
        <v>410</v>
      </c>
      <c r="F63" s="191" t="s">
        <v>846</v>
      </c>
      <c r="G63" s="410">
        <f>(15*12+150)/'Average wages'!B14</f>
        <v>6.3335069008539297E-3</v>
      </c>
      <c r="H63" s="399">
        <v>0</v>
      </c>
      <c r="I63" s="127">
        <v>0</v>
      </c>
      <c r="J63" s="535" t="s">
        <v>95</v>
      </c>
      <c r="K63" s="120" t="s">
        <v>866</v>
      </c>
      <c r="L63" s="330" t="s">
        <v>95</v>
      </c>
    </row>
    <row r="64" spans="1:12" ht="46" x14ac:dyDescent="0.25">
      <c r="A64" s="124"/>
      <c r="B64" s="130" t="s">
        <v>62</v>
      </c>
      <c r="C64" s="326" t="s">
        <v>1175</v>
      </c>
      <c r="D64" s="326" t="s">
        <v>1176</v>
      </c>
      <c r="E64" s="399" t="s">
        <v>410</v>
      </c>
      <c r="F64" s="191" t="s">
        <v>1177</v>
      </c>
      <c r="G64" s="409">
        <f>7812/'Average wages'!B14</f>
        <v>0.14993138154385122</v>
      </c>
      <c r="H64" s="399">
        <v>0</v>
      </c>
      <c r="I64" s="127">
        <v>0</v>
      </c>
      <c r="J64" s="535" t="s">
        <v>95</v>
      </c>
      <c r="K64" s="20" t="s">
        <v>95</v>
      </c>
      <c r="L64" s="330" t="s">
        <v>95</v>
      </c>
    </row>
    <row r="65" spans="1:12" ht="23.5" x14ac:dyDescent="0.25">
      <c r="A65" s="124" t="s">
        <v>367</v>
      </c>
      <c r="B65" s="130" t="s">
        <v>62</v>
      </c>
      <c r="C65" s="326" t="s">
        <v>603</v>
      </c>
      <c r="D65" s="326" t="s">
        <v>380</v>
      </c>
      <c r="E65" s="399" t="s">
        <v>410</v>
      </c>
      <c r="F65" s="191" t="s">
        <v>1178</v>
      </c>
      <c r="G65" s="409">
        <f>4008/'Average wages'!B14</f>
        <v>7.6923320177644097E-2</v>
      </c>
      <c r="H65" s="399">
        <v>0</v>
      </c>
      <c r="I65" s="127" t="s">
        <v>604</v>
      </c>
      <c r="J65" s="535" t="s">
        <v>95</v>
      </c>
      <c r="K65" s="20" t="s">
        <v>95</v>
      </c>
      <c r="L65" s="330" t="s">
        <v>95</v>
      </c>
    </row>
    <row r="66" spans="1:12" ht="46" x14ac:dyDescent="0.25">
      <c r="A66" s="124" t="s">
        <v>359</v>
      </c>
      <c r="B66" s="130" t="s">
        <v>62</v>
      </c>
      <c r="C66" s="326" t="s">
        <v>605</v>
      </c>
      <c r="D66" s="326" t="s">
        <v>376</v>
      </c>
      <c r="E66" s="399" t="s">
        <v>410</v>
      </c>
      <c r="F66" s="191" t="s">
        <v>412</v>
      </c>
      <c r="G66" s="409">
        <f>0.36*432/'Average wages'!B14</f>
        <v>2.9848090703660699E-3</v>
      </c>
      <c r="H66" s="399">
        <v>0</v>
      </c>
      <c r="I66" s="127" t="s">
        <v>607</v>
      </c>
      <c r="J66" s="535" t="s">
        <v>861</v>
      </c>
      <c r="K66" s="321" t="s">
        <v>867</v>
      </c>
      <c r="L66" s="330" t="s">
        <v>248</v>
      </c>
    </row>
    <row r="67" spans="1:12" ht="92" x14ac:dyDescent="0.25">
      <c r="A67" s="124" t="s">
        <v>360</v>
      </c>
      <c r="B67" s="193" t="s">
        <v>62</v>
      </c>
      <c r="C67" s="328" t="s">
        <v>1179</v>
      </c>
      <c r="D67" s="328" t="s">
        <v>380</v>
      </c>
      <c r="E67" s="400">
        <v>17</v>
      </c>
      <c r="F67" s="232" t="s">
        <v>1180</v>
      </c>
      <c r="G67" s="305">
        <f>293*12/'Average wages'!B14</f>
        <v>6.7480637161825507E-2</v>
      </c>
      <c r="H67" s="400" t="s">
        <v>377</v>
      </c>
      <c r="I67" s="129">
        <v>0</v>
      </c>
      <c r="J67" s="523" t="s">
        <v>95</v>
      </c>
      <c r="K67" s="337" t="s">
        <v>95</v>
      </c>
      <c r="L67" s="332" t="s">
        <v>95</v>
      </c>
    </row>
    <row r="68" spans="1:12" s="251" customFormat="1" ht="34.5" x14ac:dyDescent="0.25">
      <c r="A68" s="124" t="s">
        <v>361</v>
      </c>
      <c r="B68" s="259" t="s">
        <v>369</v>
      </c>
      <c r="C68" s="69" t="s">
        <v>1335</v>
      </c>
      <c r="D68" s="69" t="s">
        <v>376</v>
      </c>
      <c r="E68" s="398" t="s">
        <v>735</v>
      </c>
      <c r="F68" s="73" t="s">
        <v>123</v>
      </c>
      <c r="G68" s="411">
        <f>70*12/'Average wages'!B15</f>
        <v>3.9736575469366112E-2</v>
      </c>
      <c r="H68" s="398">
        <v>0</v>
      </c>
      <c r="I68" s="119" t="s">
        <v>1336</v>
      </c>
      <c r="J68" s="533" t="str">
        <f>"Equivalised taxable family income after social contributions of EUR 6000 per year ("&amp;TEXT(6000/'Average wages'!B15,"0%")&amp;" of AW)"</f>
        <v>Equivalised taxable family income after social contributions of EUR 6000 per year (28% of AW)</v>
      </c>
      <c r="K68" s="122" t="str">
        <f>"Withdrawn in steps down to zero at reference income above EUR 15000 ("&amp;TEXT(15000/'Average wages'!B15,"0%")&amp;" of AW)"</f>
        <v>Withdrawn in steps down to zero at reference income above EUR 15000 (71% of AW)</v>
      </c>
      <c r="L68" s="112" t="s">
        <v>123</v>
      </c>
    </row>
    <row r="69" spans="1:12" s="237" customFormat="1" ht="23" x14ac:dyDescent="0.25">
      <c r="A69" s="124" t="s">
        <v>362</v>
      </c>
      <c r="B69" s="335" t="s">
        <v>369</v>
      </c>
      <c r="C69" s="328" t="s">
        <v>501</v>
      </c>
      <c r="D69" s="328" t="s">
        <v>376</v>
      </c>
      <c r="E69" s="400" t="s">
        <v>104</v>
      </c>
      <c r="F69" s="232" t="s">
        <v>498</v>
      </c>
      <c r="G69" s="305">
        <f>810/'Average wages'!B15</f>
        <v>3.8317412059745898E-2</v>
      </c>
      <c r="H69" s="400">
        <v>0</v>
      </c>
      <c r="I69" s="129" t="s">
        <v>1337</v>
      </c>
      <c r="J69" s="523" t="str">
        <f>"Taxable income of EUR 12000 per year ("&amp;TEXT(12000/'Average wages'!B15,"0%")&amp;" of AW)"</f>
        <v>Taxable income of EUR 12000 per year (57% of AW)</v>
      </c>
      <c r="K69" s="524" t="s">
        <v>1338</v>
      </c>
      <c r="L69" s="332" t="s">
        <v>123</v>
      </c>
    </row>
    <row r="70" spans="1:12" ht="23" x14ac:dyDescent="0.25">
      <c r="A70" s="124" t="s">
        <v>361</v>
      </c>
      <c r="B70" s="221" t="s">
        <v>64</v>
      </c>
      <c r="C70" s="209" t="s">
        <v>413</v>
      </c>
      <c r="D70" s="209" t="s">
        <v>380</v>
      </c>
      <c r="E70" s="398" t="s">
        <v>1097</v>
      </c>
      <c r="F70" s="215" t="s">
        <v>123</v>
      </c>
      <c r="G70" s="408">
        <f>12200*12/'Average wages'!B16</f>
        <v>2.9212287287863951E-2</v>
      </c>
      <c r="H70" s="398">
        <v>0</v>
      </c>
      <c r="I70" s="194" t="s">
        <v>856</v>
      </c>
      <c r="J70" s="533" t="s">
        <v>95</v>
      </c>
      <c r="K70" s="122" t="s">
        <v>95</v>
      </c>
      <c r="L70" s="112" t="s">
        <v>104</v>
      </c>
    </row>
    <row r="71" spans="1:12" ht="69" x14ac:dyDescent="0.25">
      <c r="A71" s="124" t="s">
        <v>359</v>
      </c>
      <c r="B71" s="79" t="s">
        <v>64</v>
      </c>
      <c r="C71" s="210" t="s">
        <v>1098</v>
      </c>
      <c r="D71" s="338" t="s">
        <v>376</v>
      </c>
      <c r="E71" s="399" t="s">
        <v>1097</v>
      </c>
      <c r="F71" s="216" t="s">
        <v>1099</v>
      </c>
      <c r="G71" s="409">
        <f>13000/'Average wages'!B16</f>
        <v>2.593987259168247E-3</v>
      </c>
      <c r="H71" s="399">
        <v>0</v>
      </c>
      <c r="I71" s="127">
        <v>0</v>
      </c>
      <c r="J71" s="535" t="str">
        <f>CONCATENATE("HUF ",38475*12," (",LEFT(38475*12/'Average wages'!B16*100,5),"% of AW)")</f>
        <v>HUF 461700 (9.212% of AW)</v>
      </c>
      <c r="K71" s="321" t="s">
        <v>862</v>
      </c>
      <c r="L71" s="330" t="s">
        <v>104</v>
      </c>
    </row>
    <row r="72" spans="1:12" ht="23" x14ac:dyDescent="0.25">
      <c r="B72" s="79" t="s">
        <v>64</v>
      </c>
      <c r="C72" s="210" t="s">
        <v>1100</v>
      </c>
      <c r="D72" s="338" t="s">
        <v>380</v>
      </c>
      <c r="E72" s="399">
        <v>2</v>
      </c>
      <c r="F72" s="216" t="s">
        <v>123</v>
      </c>
      <c r="G72" s="409">
        <f>28500*12/'Average wages'!B16</f>
        <v>6.8241818664272341E-2</v>
      </c>
      <c r="H72" s="399">
        <v>0</v>
      </c>
      <c r="I72" s="127" t="s">
        <v>1101</v>
      </c>
      <c r="J72" s="535" t="s">
        <v>95</v>
      </c>
      <c r="K72" s="120" t="s">
        <v>95</v>
      </c>
      <c r="L72" s="330" t="s">
        <v>104</v>
      </c>
    </row>
    <row r="73" spans="1:12" ht="23" x14ac:dyDescent="0.25">
      <c r="B73" s="79" t="s">
        <v>64</v>
      </c>
      <c r="C73" s="210" t="s">
        <v>1102</v>
      </c>
      <c r="D73" s="338" t="s">
        <v>380</v>
      </c>
      <c r="E73" s="399">
        <v>8</v>
      </c>
      <c r="F73" s="216" t="s">
        <v>1103</v>
      </c>
      <c r="G73" s="409">
        <f>28500*12/'Average wages'!B16</f>
        <v>6.8241818664272341E-2</v>
      </c>
      <c r="H73" s="399">
        <v>0</v>
      </c>
      <c r="I73" s="121" t="s">
        <v>136</v>
      </c>
      <c r="J73" s="535" t="s">
        <v>95</v>
      </c>
      <c r="K73" s="120" t="s">
        <v>95</v>
      </c>
      <c r="L73" s="330" t="s">
        <v>104</v>
      </c>
    </row>
    <row r="74" spans="1:12" ht="24" x14ac:dyDescent="0.25">
      <c r="B74" s="222" t="s">
        <v>64</v>
      </c>
      <c r="C74" s="210" t="s">
        <v>1104</v>
      </c>
      <c r="D74" s="338" t="s">
        <v>432</v>
      </c>
      <c r="E74" s="399" t="s">
        <v>384</v>
      </c>
      <c r="F74" s="216" t="s">
        <v>123</v>
      </c>
      <c r="G74" s="409">
        <f>10000*12/'Average wages'!B16</f>
        <v>2.3944497776937666E-2</v>
      </c>
      <c r="H74" s="399">
        <v>0</v>
      </c>
      <c r="I74" s="121" t="s">
        <v>1105</v>
      </c>
      <c r="J74" s="535" t="s">
        <v>95</v>
      </c>
      <c r="K74" s="120" t="s">
        <v>95</v>
      </c>
      <c r="L74" s="330" t="s">
        <v>104</v>
      </c>
    </row>
    <row r="75" spans="1:12" s="251" customFormat="1" ht="34.5" x14ac:dyDescent="0.25">
      <c r="A75" s="124" t="s">
        <v>363</v>
      </c>
      <c r="B75" s="259" t="s">
        <v>65</v>
      </c>
      <c r="C75" s="69" t="s">
        <v>415</v>
      </c>
      <c r="D75" s="69" t="s">
        <v>376</v>
      </c>
      <c r="E75" s="398">
        <v>17</v>
      </c>
      <c r="F75" s="73" t="s">
        <v>1339</v>
      </c>
      <c r="G75" s="408">
        <f>234500/'Average wages'!B17</f>
        <v>2.5359298021481416E-2</v>
      </c>
      <c r="H75" s="398">
        <v>0</v>
      </c>
      <c r="I75" s="119" t="s">
        <v>1337</v>
      </c>
      <c r="J75" s="533" t="str">
        <f>"ISK 7,800,000 ("&amp;TEXT(7800000/'Average wages'!B17,"0%")&amp;" of AW)"</f>
        <v>ISK 7,800,000 (84% of AW)</v>
      </c>
      <c r="K75" s="122" t="s">
        <v>1340</v>
      </c>
      <c r="L75" s="112" t="s">
        <v>104</v>
      </c>
    </row>
    <row r="76" spans="1:12" s="22" customFormat="1" ht="46" x14ac:dyDescent="0.25">
      <c r="A76" s="124"/>
      <c r="B76" s="130" t="s">
        <v>65</v>
      </c>
      <c r="C76" s="326" t="s">
        <v>1341</v>
      </c>
      <c r="D76" s="326" t="s">
        <v>376</v>
      </c>
      <c r="E76" s="399">
        <v>6</v>
      </c>
      <c r="F76" s="191" t="s">
        <v>123</v>
      </c>
      <c r="G76" s="409">
        <f>140000/'Average wages'!B17</f>
        <v>1.51398794158098E-2</v>
      </c>
      <c r="H76" s="399">
        <v>0</v>
      </c>
      <c r="I76" s="127">
        <v>0</v>
      </c>
      <c r="J76" s="535" t="str">
        <f>"ISK 7,800,000 ("&amp;TEXT(7800000/'Average wages'!B17,"0%")&amp;" of AW) for couples
ISK 3,900,000 ("&amp;TEXT(3900000/'Average wages'!B17,"0%")&amp;" of AW) for lone parents"</f>
        <v>ISK 7,800,000 (84% of AW) for couples
ISK 3,900,000 (42% of AW) for lone parents</v>
      </c>
      <c r="K76" s="120" t="s">
        <v>1342</v>
      </c>
      <c r="L76" s="330" t="s">
        <v>104</v>
      </c>
    </row>
    <row r="77" spans="1:12" s="22" customFormat="1" ht="34.5" x14ac:dyDescent="0.25">
      <c r="A77" s="124" t="s">
        <v>359</v>
      </c>
      <c r="B77" s="130" t="s">
        <v>65</v>
      </c>
      <c r="C77" s="326" t="s">
        <v>1343</v>
      </c>
      <c r="D77" s="326" t="s">
        <v>376</v>
      </c>
      <c r="E77" s="399">
        <v>17</v>
      </c>
      <c r="F77" s="191" t="s">
        <v>416</v>
      </c>
      <c r="G77" s="409">
        <f>390700/'Average wages'!B17</f>
        <v>4.2251077769692065E-2</v>
      </c>
      <c r="H77" s="399">
        <v>0</v>
      </c>
      <c r="I77" s="121" t="s">
        <v>1337</v>
      </c>
      <c r="J77" s="535" t="str">
        <f>"ISK 3,900,000 ("&amp;TEXT(3900000/'Average wages'!B17,"0%")&amp;" of AW) "</f>
        <v xml:space="preserve">ISK 3,900,000 (42% of AW) </v>
      </c>
      <c r="K77" s="120" t="s">
        <v>1340</v>
      </c>
      <c r="L77" s="330" t="s">
        <v>104</v>
      </c>
    </row>
    <row r="78" spans="1:12" s="237" customFormat="1" ht="23" x14ac:dyDescent="0.25">
      <c r="A78" s="124" t="s">
        <v>362</v>
      </c>
      <c r="B78" s="335" t="s">
        <v>65</v>
      </c>
      <c r="C78" s="328" t="s">
        <v>417</v>
      </c>
      <c r="D78" s="328" t="s">
        <v>380</v>
      </c>
      <c r="E78" s="400">
        <v>17</v>
      </c>
      <c r="F78" s="232" t="s">
        <v>461</v>
      </c>
      <c r="G78" s="305">
        <f>123552/'Average wages'!B17</f>
        <v>1.3361159868443802E-2</v>
      </c>
      <c r="H78" s="400">
        <v>0</v>
      </c>
      <c r="I78" s="322" t="s">
        <v>1344</v>
      </c>
      <c r="J78" s="523" t="s">
        <v>95</v>
      </c>
      <c r="K78" s="524" t="s">
        <v>95</v>
      </c>
      <c r="L78" s="332" t="s">
        <v>95</v>
      </c>
    </row>
    <row r="79" spans="1:12" s="346" customFormat="1" x14ac:dyDescent="0.25">
      <c r="A79" s="339" t="s">
        <v>363</v>
      </c>
      <c r="B79" s="221" t="s">
        <v>66</v>
      </c>
      <c r="C79" s="340" t="s">
        <v>418</v>
      </c>
      <c r="D79" s="341" t="s">
        <v>380</v>
      </c>
      <c r="E79" s="402" t="s">
        <v>419</v>
      </c>
      <c r="F79" s="342" t="s">
        <v>123</v>
      </c>
      <c r="G79" s="412">
        <f>140*12/'Average wages'!B18</f>
        <v>3.5985818051611912E-2</v>
      </c>
      <c r="H79" s="402">
        <v>0</v>
      </c>
      <c r="I79" s="343">
        <v>0</v>
      </c>
      <c r="J79" s="344" t="s">
        <v>95</v>
      </c>
      <c r="K79" s="345" t="s">
        <v>95</v>
      </c>
      <c r="L79" s="432" t="s">
        <v>95</v>
      </c>
    </row>
    <row r="80" spans="1:12" s="346" customFormat="1" ht="34.5" x14ac:dyDescent="0.25">
      <c r="A80" s="339" t="s">
        <v>367</v>
      </c>
      <c r="B80" s="79" t="s">
        <v>1437</v>
      </c>
      <c r="C80" s="348" t="s">
        <v>420</v>
      </c>
      <c r="D80" s="348" t="s">
        <v>376</v>
      </c>
      <c r="E80" s="403" t="s">
        <v>666</v>
      </c>
      <c r="F80" s="347" t="str">
        <f>"Earnings must be below EUR 425 per week ("&amp;TEXT(425*52*100/'Average wages'!B18,0)&amp;"% of AW)"</f>
        <v>Earnings must be below EUR 425 per week (47% of AW)</v>
      </c>
      <c r="G80" s="413">
        <f>36*52/'Average wages'!B18</f>
        <v>4.0098482971796127E-2</v>
      </c>
      <c r="H80" s="403">
        <v>0</v>
      </c>
      <c r="I80" s="349">
        <v>0</v>
      </c>
      <c r="J80" s="350" t="str">
        <f>"The first EUR 165/week of weekly earnings are disregarded ("&amp;TEXT(165*52*100/'Average wages'!B18,0)&amp;"% of AW)"</f>
        <v>The first EUR 165/week of weekly earnings are disregarded (18% of AW)</v>
      </c>
      <c r="K80" s="351" t="str">
        <f>"50%
Benefit fully withdrawn if earnings exceed EUR 425/week ("&amp;TEXT(425*52*100/'Average wages'!B18,0)&amp;"% of AW)"</f>
        <v>50%
Benefit fully withdrawn if earnings exceed EUR 425/week (47% of AW)</v>
      </c>
      <c r="L80" s="433" t="s">
        <v>104</v>
      </c>
    </row>
    <row r="81" spans="1:12" s="346" customFormat="1" ht="34.5" x14ac:dyDescent="0.25">
      <c r="A81" s="339"/>
      <c r="B81" s="79" t="s">
        <v>1437</v>
      </c>
      <c r="C81" s="354" t="s">
        <v>667</v>
      </c>
      <c r="D81" s="348" t="s">
        <v>376</v>
      </c>
      <c r="E81" s="403" t="s">
        <v>1106</v>
      </c>
      <c r="F81" s="347" t="s">
        <v>847</v>
      </c>
      <c r="G81" s="413">
        <f>36*52/'Average wages'!B18</f>
        <v>4.0098482971796127E-2</v>
      </c>
      <c r="H81" s="403">
        <v>0</v>
      </c>
      <c r="I81" s="349">
        <v>0</v>
      </c>
      <c r="J81" s="350" t="str">
        <f>J80</f>
        <v>The first EUR 165/week of weekly earnings are disregarded (18% of AW)</v>
      </c>
      <c r="K81" s="352">
        <v>0.5</v>
      </c>
      <c r="L81" s="433" t="s">
        <v>104</v>
      </c>
    </row>
    <row r="82" spans="1:12" s="346" customFormat="1" ht="23" x14ac:dyDescent="0.25">
      <c r="A82" s="353" t="s">
        <v>359</v>
      </c>
      <c r="B82" s="222" t="s">
        <v>66</v>
      </c>
      <c r="C82" s="354" t="s">
        <v>669</v>
      </c>
      <c r="D82" s="348" t="s">
        <v>394</v>
      </c>
      <c r="E82" s="403" t="s">
        <v>104</v>
      </c>
      <c r="F82" s="347" t="s">
        <v>123</v>
      </c>
      <c r="G82" s="413">
        <f>1650/'Average wages'!B18</f>
        <v>3.5343214157833126E-2</v>
      </c>
      <c r="H82" s="403">
        <v>0</v>
      </c>
      <c r="I82" s="349" t="s">
        <v>136</v>
      </c>
      <c r="J82" s="355" t="s">
        <v>95</v>
      </c>
      <c r="K82" s="351" t="s">
        <v>95</v>
      </c>
      <c r="L82" s="433" t="s">
        <v>95</v>
      </c>
    </row>
    <row r="83" spans="1:12" ht="23" x14ac:dyDescent="0.25">
      <c r="A83" s="317" t="s">
        <v>361</v>
      </c>
      <c r="B83" s="221" t="s">
        <v>1438</v>
      </c>
      <c r="C83" s="209" t="s">
        <v>829</v>
      </c>
      <c r="D83" s="209" t="s">
        <v>380</v>
      </c>
      <c r="E83" s="398">
        <v>17</v>
      </c>
      <c r="F83" s="215" t="s">
        <v>123</v>
      </c>
      <c r="G83" s="411">
        <f>152*12/'Average wages'!$B$19</f>
        <v>1.1610983012764314E-2</v>
      </c>
      <c r="H83" s="398">
        <v>0</v>
      </c>
      <c r="I83" s="194" t="s">
        <v>857</v>
      </c>
      <c r="J83" s="533" t="s">
        <v>95</v>
      </c>
      <c r="K83" s="122" t="s">
        <v>95</v>
      </c>
      <c r="L83" s="112" t="s">
        <v>95</v>
      </c>
    </row>
    <row r="84" spans="1:12" ht="34.5" x14ac:dyDescent="0.25">
      <c r="A84" s="317" t="s">
        <v>364</v>
      </c>
      <c r="B84" s="79" t="s">
        <v>1438</v>
      </c>
      <c r="C84" s="210" t="s">
        <v>830</v>
      </c>
      <c r="D84" s="210" t="s">
        <v>376</v>
      </c>
      <c r="E84" s="399">
        <v>17</v>
      </c>
      <c r="F84" s="216" t="s">
        <v>848</v>
      </c>
      <c r="G84" s="410">
        <f>0.7*152*12/'Average wages'!$B$19</f>
        <v>8.12768810893502E-3</v>
      </c>
      <c r="H84" s="399">
        <v>0</v>
      </c>
      <c r="I84" s="121" t="s">
        <v>858</v>
      </c>
      <c r="J84" s="535" t="s">
        <v>95</v>
      </c>
      <c r="K84" s="120" t="s">
        <v>95</v>
      </c>
      <c r="L84" s="330" t="s">
        <v>95</v>
      </c>
    </row>
    <row r="85" spans="1:12" ht="23" x14ac:dyDescent="0.25">
      <c r="A85" s="124" t="s">
        <v>362</v>
      </c>
      <c r="B85" s="79" t="s">
        <v>67</v>
      </c>
      <c r="C85" s="210" t="s">
        <v>429</v>
      </c>
      <c r="D85" s="210" t="s">
        <v>394</v>
      </c>
      <c r="E85" s="399">
        <v>17</v>
      </c>
      <c r="F85" s="216" t="s">
        <v>424</v>
      </c>
      <c r="G85" s="409">
        <f>6570/'Average wages'!$B$19</f>
        <v>4.1822455259792515E-2</v>
      </c>
      <c r="H85" s="399" t="s">
        <v>748</v>
      </c>
      <c r="I85" s="121">
        <v>0</v>
      </c>
      <c r="J85" s="535" t="s">
        <v>95</v>
      </c>
      <c r="K85" s="120" t="s">
        <v>95</v>
      </c>
      <c r="L85" s="330" t="s">
        <v>95</v>
      </c>
    </row>
    <row r="86" spans="1:12" ht="23" x14ac:dyDescent="0.25">
      <c r="A86" s="124"/>
      <c r="B86" s="79" t="s">
        <v>67</v>
      </c>
      <c r="C86" s="210" t="s">
        <v>749</v>
      </c>
      <c r="D86" s="210" t="s">
        <v>394</v>
      </c>
      <c r="E86" s="399">
        <v>17</v>
      </c>
      <c r="F86" s="216" t="s">
        <v>424</v>
      </c>
      <c r="G86" s="409">
        <f>2628/'Average wages'!$B$19</f>
        <v>1.6728982103917007E-2</v>
      </c>
      <c r="H86" s="399">
        <v>0</v>
      </c>
      <c r="I86" s="121" t="s">
        <v>692</v>
      </c>
      <c r="J86" s="535" t="s">
        <v>95</v>
      </c>
      <c r="K86" s="120" t="s">
        <v>95</v>
      </c>
      <c r="L86" s="330" t="s">
        <v>95</v>
      </c>
    </row>
    <row r="87" spans="1:12" ht="34.5" x14ac:dyDescent="0.25">
      <c r="A87" s="124" t="s">
        <v>363</v>
      </c>
      <c r="B87" s="79" t="s">
        <v>67</v>
      </c>
      <c r="C87" s="210" t="s">
        <v>425</v>
      </c>
      <c r="D87" s="210" t="s">
        <v>387</v>
      </c>
      <c r="E87" s="399">
        <v>17</v>
      </c>
      <c r="F87" s="216" t="s">
        <v>426</v>
      </c>
      <c r="G87" s="409">
        <f>330*12*(1+0.5+0.3)/'Average wages'!$B$19</f>
        <v>4.5374499405144757E-2</v>
      </c>
      <c r="H87" s="399">
        <v>0</v>
      </c>
      <c r="I87" s="127" t="s">
        <v>748</v>
      </c>
      <c r="J87" s="535" t="s">
        <v>95</v>
      </c>
      <c r="K87" s="120" t="s">
        <v>427</v>
      </c>
      <c r="L87" s="330" t="s">
        <v>95</v>
      </c>
    </row>
    <row r="88" spans="1:12" ht="34.5" x14ac:dyDescent="0.25">
      <c r="A88" s="317" t="s">
        <v>360</v>
      </c>
      <c r="B88" s="222" t="s">
        <v>67</v>
      </c>
      <c r="C88" s="211" t="s">
        <v>831</v>
      </c>
      <c r="D88" s="211" t="s">
        <v>376</v>
      </c>
      <c r="E88" s="400" t="s">
        <v>996</v>
      </c>
      <c r="F88" s="217" t="s">
        <v>750</v>
      </c>
      <c r="G88" s="305">
        <f>(0.18*8804)/'Average wages'!$B$19</f>
        <v>1.0087805372800364E-2</v>
      </c>
      <c r="H88" s="400" t="s">
        <v>748</v>
      </c>
      <c r="I88" s="129">
        <v>0</v>
      </c>
      <c r="J88" s="523" t="s">
        <v>95</v>
      </c>
      <c r="K88" s="524" t="s">
        <v>95</v>
      </c>
      <c r="L88" s="332" t="s">
        <v>95</v>
      </c>
    </row>
    <row r="89" spans="1:12" ht="103.5" x14ac:dyDescent="0.25">
      <c r="A89" s="317"/>
      <c r="B89" s="221" t="s">
        <v>68</v>
      </c>
      <c r="C89" s="209" t="s">
        <v>1107</v>
      </c>
      <c r="D89" s="209" t="s">
        <v>376</v>
      </c>
      <c r="E89" s="398">
        <v>18</v>
      </c>
      <c r="F89" s="215" t="s">
        <v>1108</v>
      </c>
      <c r="G89" s="408">
        <v>6.0249499999999998E-2</v>
      </c>
      <c r="H89" s="398">
        <v>0</v>
      </c>
      <c r="I89" s="119" t="s">
        <v>692</v>
      </c>
      <c r="J89" s="533" t="s">
        <v>95</v>
      </c>
      <c r="K89" s="122" t="str">
        <f>"Benefit withdrawn completely if ISEE indicator is above EUR 8788.99 ("&amp;TEXT(100*8788.99/'[1]Average wages'!B20,0)&amp;"% of AW)"</f>
        <v>Benefit withdrawn completely if ISEE indicator is above EUR 8788.99 (28% of AW)</v>
      </c>
      <c r="L89" s="112" t="s">
        <v>1109</v>
      </c>
    </row>
    <row r="90" spans="1:12" s="358" customFormat="1" ht="103.5" x14ac:dyDescent="0.25">
      <c r="A90" s="356"/>
      <c r="B90" s="222" t="s">
        <v>68</v>
      </c>
      <c r="C90" s="348" t="s">
        <v>740</v>
      </c>
      <c r="D90" s="348" t="s">
        <v>376</v>
      </c>
      <c r="E90" s="403">
        <v>1</v>
      </c>
      <c r="F90" s="347" t="s">
        <v>123</v>
      </c>
      <c r="G90" s="413">
        <f>160*12/'[1]Average wages'!B20</f>
        <v>6.1309020389783593E-2</v>
      </c>
      <c r="H90" s="403">
        <v>0</v>
      </c>
      <c r="I90" s="357">
        <v>0</v>
      </c>
      <c r="J90" s="355" t="s">
        <v>95</v>
      </c>
      <c r="K90" s="351" t="str">
        <f>"Benefit withdrawn completely if ISEE indicator is above EUR 7000 ("&amp;TEXT(100*7000/'[1]Average wages'!B20,0)&amp;"% of AW)"</f>
        <v>Benefit withdrawn completely if ISEE indicator is above EUR 7000 (22% of AW)</v>
      </c>
      <c r="L90" s="434" t="s">
        <v>1109</v>
      </c>
    </row>
    <row r="91" spans="1:12" s="358" customFormat="1" ht="57.5" x14ac:dyDescent="0.25">
      <c r="A91" s="356" t="s">
        <v>361</v>
      </c>
      <c r="B91" s="222" t="s">
        <v>68</v>
      </c>
      <c r="C91" s="348" t="s">
        <v>1110</v>
      </c>
      <c r="D91" s="348" t="s">
        <v>376</v>
      </c>
      <c r="E91" s="403" t="s">
        <v>1111</v>
      </c>
      <c r="F91" s="347" t="s">
        <v>1112</v>
      </c>
      <c r="G91" s="413">
        <v>5.2687400000000002E-2</v>
      </c>
      <c r="H91" s="403">
        <v>0</v>
      </c>
      <c r="I91" s="357" t="s">
        <v>377</v>
      </c>
      <c r="J91" s="355" t="s">
        <v>407</v>
      </c>
      <c r="K91" s="351" t="s">
        <v>868</v>
      </c>
      <c r="L91" s="434" t="s">
        <v>123</v>
      </c>
    </row>
    <row r="92" spans="1:12" s="346" customFormat="1" ht="34.5" x14ac:dyDescent="0.25">
      <c r="A92" s="339" t="s">
        <v>359</v>
      </c>
      <c r="B92" s="222" t="s">
        <v>68</v>
      </c>
      <c r="C92" s="348" t="s">
        <v>429</v>
      </c>
      <c r="D92" s="348" t="s">
        <v>421</v>
      </c>
      <c r="E92" s="403" t="s">
        <v>1097</v>
      </c>
      <c r="F92" s="347" t="s">
        <v>123</v>
      </c>
      <c r="G92" s="413">
        <f>950/'[1]Average wages'!B20</f>
        <v>3.0335192380361673E-2</v>
      </c>
      <c r="H92" s="403" t="s">
        <v>398</v>
      </c>
      <c r="I92" s="357">
        <v>0</v>
      </c>
      <c r="J92" s="355" t="s">
        <v>123</v>
      </c>
      <c r="K92" s="351" t="s">
        <v>407</v>
      </c>
      <c r="L92" s="434" t="s">
        <v>123</v>
      </c>
    </row>
    <row r="93" spans="1:12" s="346" customFormat="1" ht="34.5" x14ac:dyDescent="0.25">
      <c r="A93" s="339" t="s">
        <v>360</v>
      </c>
      <c r="B93" s="223" t="s">
        <v>68</v>
      </c>
      <c r="C93" s="359" t="s">
        <v>430</v>
      </c>
      <c r="D93" s="359" t="s">
        <v>421</v>
      </c>
      <c r="E93" s="404" t="s">
        <v>1097</v>
      </c>
      <c r="F93" s="360" t="s">
        <v>849</v>
      </c>
      <c r="G93" s="414">
        <f>1200/'[1]Average wages'!B20</f>
        <v>3.8318137743614748E-2</v>
      </c>
      <c r="H93" s="404">
        <v>0</v>
      </c>
      <c r="I93" s="361" t="s">
        <v>692</v>
      </c>
      <c r="J93" s="362" t="s">
        <v>123</v>
      </c>
      <c r="K93" s="363" t="s">
        <v>407</v>
      </c>
      <c r="L93" s="435" t="s">
        <v>123</v>
      </c>
    </row>
    <row r="94" spans="1:12" ht="46" x14ac:dyDescent="0.25">
      <c r="A94" s="124" t="s">
        <v>362</v>
      </c>
      <c r="B94" s="221" t="s">
        <v>69</v>
      </c>
      <c r="C94" s="209" t="s">
        <v>396</v>
      </c>
      <c r="D94" s="209" t="s">
        <v>376</v>
      </c>
      <c r="E94" s="398">
        <v>15</v>
      </c>
      <c r="F94" s="215" t="s">
        <v>123</v>
      </c>
      <c r="G94" s="408">
        <f>10000*12/'[1]Average wages'!B21</f>
        <v>2.3464818640123421E-2</v>
      </c>
      <c r="H94" s="398" t="s">
        <v>398</v>
      </c>
      <c r="I94" s="119" t="s">
        <v>676</v>
      </c>
      <c r="J94" s="318" t="str">
        <f>"JPY 9.0 million ("&amp;TEXT(9000709*100/'[1]Average wages'!B21,0)&amp;"% of AW)"</f>
        <v>JPY 9.0 million (176% of AW)</v>
      </c>
      <c r="K94" s="319" t="s">
        <v>1113</v>
      </c>
      <c r="L94" s="112" t="s">
        <v>123</v>
      </c>
    </row>
    <row r="95" spans="1:12" ht="92" x14ac:dyDescent="0.25">
      <c r="A95" s="317" t="s">
        <v>360</v>
      </c>
      <c r="B95" s="223" t="s">
        <v>69</v>
      </c>
      <c r="C95" s="211" t="s">
        <v>675</v>
      </c>
      <c r="D95" s="211" t="s">
        <v>376</v>
      </c>
      <c r="E95" s="400">
        <v>18</v>
      </c>
      <c r="F95" s="217" t="s">
        <v>123</v>
      </c>
      <c r="G95" s="305">
        <f>42910*12/'[1]Average wages'!B21</f>
        <v>0.1006875367847696</v>
      </c>
      <c r="H95" s="400">
        <v>0</v>
      </c>
      <c r="I95" s="129" t="s">
        <v>398</v>
      </c>
      <c r="J95" s="323" t="str">
        <f>"Varies by family size: JPY 870000 ("&amp;TEXT(870000*100/'[1]Average wages'!B21,0)&amp;"% of AW)  for one dependent, increases with number of children"</f>
        <v>Varies by family size: JPY 870000 (17% of AW)  for one dependent, increases with number of children</v>
      </c>
      <c r="K95" s="324" t="s">
        <v>1114</v>
      </c>
      <c r="L95" s="332" t="s">
        <v>104</v>
      </c>
    </row>
    <row r="96" spans="1:12" x14ac:dyDescent="0.25">
      <c r="A96" s="124" t="s">
        <v>363</v>
      </c>
      <c r="B96" s="222" t="s">
        <v>70</v>
      </c>
      <c r="C96" s="669" t="s">
        <v>1447</v>
      </c>
      <c r="D96" s="210"/>
      <c r="E96" s="399"/>
      <c r="F96" s="216"/>
      <c r="G96" s="409"/>
      <c r="H96" s="399"/>
      <c r="I96" s="121"/>
      <c r="J96" s="535"/>
      <c r="K96" s="120"/>
      <c r="L96" s="330"/>
    </row>
    <row r="97" spans="1:16384" x14ac:dyDescent="0.25">
      <c r="A97" s="124" t="s">
        <v>360</v>
      </c>
      <c r="B97" s="223" t="s">
        <v>70</v>
      </c>
      <c r="C97" s="670" t="s">
        <v>1447</v>
      </c>
      <c r="D97" s="211"/>
      <c r="E97" s="400"/>
      <c r="F97" s="217"/>
      <c r="G97" s="305"/>
      <c r="H97" s="400"/>
      <c r="I97" s="129"/>
      <c r="J97" s="523"/>
      <c r="K97" s="524"/>
      <c r="L97" s="332"/>
    </row>
    <row r="98" spans="1:16384" s="251" customFormat="1" x14ac:dyDescent="0.25">
      <c r="A98" s="124" t="s">
        <v>360</v>
      </c>
      <c r="B98" s="364" t="s">
        <v>85</v>
      </c>
      <c r="C98" s="69" t="s">
        <v>457</v>
      </c>
      <c r="D98" s="69" t="s">
        <v>380</v>
      </c>
      <c r="E98" s="398" t="s">
        <v>444</v>
      </c>
      <c r="F98" s="73" t="s">
        <v>123</v>
      </c>
      <c r="G98" s="408">
        <f>11.38*12/'Average wages'!B23</f>
        <v>1.0575673503979617E-2</v>
      </c>
      <c r="H98" s="398">
        <v>0</v>
      </c>
      <c r="I98" s="194" t="s">
        <v>377</v>
      </c>
      <c r="J98" s="533" t="s">
        <v>95</v>
      </c>
      <c r="K98" s="122" t="s">
        <v>95</v>
      </c>
      <c r="L98" s="112" t="s">
        <v>95</v>
      </c>
    </row>
    <row r="99" spans="1:16384" s="22" customFormat="1" x14ac:dyDescent="0.25">
      <c r="A99" s="124"/>
      <c r="B99" s="29" t="s">
        <v>85</v>
      </c>
      <c r="C99" s="326" t="s">
        <v>1345</v>
      </c>
      <c r="D99" s="326" t="s">
        <v>380</v>
      </c>
      <c r="E99" s="399">
        <v>2</v>
      </c>
      <c r="F99" s="191" t="s">
        <v>123</v>
      </c>
      <c r="G99" s="409">
        <f>171*12/'Average wages'!B23</f>
        <v>0.15891389887350743</v>
      </c>
      <c r="H99" s="399" t="s">
        <v>748</v>
      </c>
      <c r="I99" s="121">
        <v>0</v>
      </c>
      <c r="J99" s="535" t="s">
        <v>95</v>
      </c>
      <c r="K99" s="120" t="s">
        <v>95</v>
      </c>
      <c r="L99" s="330" t="s">
        <v>95</v>
      </c>
    </row>
    <row r="100" spans="1:16384" s="22" customFormat="1" x14ac:dyDescent="0.25">
      <c r="A100" s="124"/>
      <c r="B100" s="29" t="s">
        <v>85</v>
      </c>
      <c r="C100" s="326" t="s">
        <v>1346</v>
      </c>
      <c r="D100" s="326" t="s">
        <v>376</v>
      </c>
      <c r="E100" s="399" t="s">
        <v>395</v>
      </c>
      <c r="F100" s="191" t="s">
        <v>498</v>
      </c>
      <c r="G100" s="409">
        <f>250*12/'Average wages'!B23</f>
        <v>0.23233026151097577</v>
      </c>
      <c r="H100" s="399">
        <v>0</v>
      </c>
      <c r="I100" s="121">
        <v>0</v>
      </c>
      <c r="J100" s="535" t="s">
        <v>95</v>
      </c>
      <c r="K100" s="120" t="s">
        <v>95</v>
      </c>
      <c r="L100" s="330" t="s">
        <v>95</v>
      </c>
    </row>
    <row r="101" spans="1:16384" s="237" customFormat="1" ht="24" x14ac:dyDescent="0.25">
      <c r="A101" s="124" t="s">
        <v>362</v>
      </c>
      <c r="B101" s="29" t="s">
        <v>85</v>
      </c>
      <c r="C101" s="326" t="s">
        <v>581</v>
      </c>
      <c r="D101" s="326" t="s">
        <v>380</v>
      </c>
      <c r="E101" s="399" t="s">
        <v>428</v>
      </c>
      <c r="F101" s="191" t="s">
        <v>1347</v>
      </c>
      <c r="G101" s="409">
        <f>129*12/'Average wages'!B23</f>
        <v>0.11988241493966351</v>
      </c>
      <c r="H101" s="399" t="s">
        <v>377</v>
      </c>
      <c r="I101" s="127">
        <v>0</v>
      </c>
      <c r="J101" s="535" t="s">
        <v>95</v>
      </c>
      <c r="K101" s="120" t="s">
        <v>95</v>
      </c>
      <c r="L101" s="330" t="s">
        <v>95</v>
      </c>
      <c r="M101" s="22"/>
      <c r="N101" s="22"/>
      <c r="O101" s="22"/>
      <c r="P101" s="22"/>
      <c r="Q101" s="22"/>
      <c r="R101" s="22"/>
      <c r="S101" s="22"/>
      <c r="T101" s="22"/>
      <c r="U101" s="22"/>
      <c r="V101" s="22"/>
      <c r="W101" s="22"/>
      <c r="X101" s="22"/>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2"/>
      <c r="AY101" s="22"/>
      <c r="AZ101" s="22"/>
      <c r="BA101" s="22"/>
      <c r="BB101" s="22"/>
      <c r="BC101" s="22"/>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22"/>
      <c r="CG101" s="22"/>
      <c r="CH101" s="22"/>
      <c r="CI101" s="22"/>
      <c r="CJ101" s="22"/>
      <c r="CK101" s="22"/>
      <c r="CL101" s="22"/>
      <c r="CM101" s="22"/>
      <c r="CN101" s="22"/>
      <c r="CO101" s="22"/>
      <c r="CP101" s="22"/>
      <c r="CQ101" s="22"/>
      <c r="CR101" s="22"/>
      <c r="CS101" s="22"/>
      <c r="CT101" s="22"/>
      <c r="CU101" s="22"/>
      <c r="CV101" s="22"/>
      <c r="CW101" s="22"/>
      <c r="CX101" s="22"/>
      <c r="CY101" s="22"/>
      <c r="CZ101" s="22"/>
      <c r="DA101" s="22"/>
      <c r="DB101" s="22"/>
      <c r="DC101" s="22"/>
      <c r="DD101" s="22"/>
      <c r="DE101" s="22"/>
      <c r="DF101" s="22"/>
      <c r="DG101" s="22"/>
      <c r="DH101" s="22"/>
      <c r="DI101" s="22"/>
      <c r="DJ101" s="22"/>
      <c r="DK101" s="22"/>
      <c r="DL101" s="22"/>
      <c r="DM101" s="22"/>
      <c r="DN101" s="22"/>
      <c r="DO101" s="22"/>
      <c r="DP101" s="22"/>
      <c r="DQ101" s="22"/>
      <c r="DR101" s="22"/>
      <c r="DS101" s="22"/>
      <c r="DT101" s="22"/>
      <c r="DU101" s="22"/>
      <c r="DV101" s="22"/>
      <c r="DW101" s="22"/>
      <c r="DX101" s="22"/>
      <c r="DY101" s="22"/>
      <c r="DZ101" s="22"/>
      <c r="EA101" s="22"/>
      <c r="EB101" s="22"/>
      <c r="EC101" s="22"/>
      <c r="ED101" s="22"/>
      <c r="EE101" s="22"/>
      <c r="EF101" s="22"/>
      <c r="EG101" s="22"/>
      <c r="EH101" s="22"/>
      <c r="EI101" s="22"/>
      <c r="EJ101" s="22"/>
      <c r="EK101" s="22"/>
      <c r="EL101" s="22"/>
      <c r="EM101" s="22"/>
      <c r="EN101" s="22"/>
      <c r="EO101" s="22"/>
      <c r="EP101" s="22"/>
      <c r="EQ101" s="22"/>
      <c r="ER101" s="22"/>
      <c r="ES101" s="22"/>
      <c r="ET101" s="22"/>
      <c r="EU101" s="22"/>
      <c r="EV101" s="22"/>
      <c r="EW101" s="22"/>
      <c r="EX101" s="22"/>
      <c r="EY101" s="22"/>
      <c r="EZ101" s="22"/>
      <c r="FA101" s="22"/>
      <c r="FB101" s="22"/>
      <c r="FC101" s="22"/>
      <c r="FD101" s="22"/>
      <c r="FE101" s="22"/>
      <c r="FF101" s="22"/>
      <c r="FG101" s="22"/>
      <c r="FH101" s="22"/>
      <c r="FI101" s="22"/>
      <c r="FJ101" s="22"/>
      <c r="FK101" s="22"/>
      <c r="FL101" s="22"/>
      <c r="FM101" s="22"/>
      <c r="FN101" s="22"/>
      <c r="FO101" s="22"/>
      <c r="FP101" s="22"/>
      <c r="FQ101" s="22"/>
      <c r="FR101" s="22"/>
      <c r="FS101" s="22"/>
      <c r="FT101" s="22"/>
      <c r="FU101" s="22"/>
      <c r="FV101" s="22"/>
      <c r="FW101" s="22"/>
      <c r="FX101" s="22"/>
      <c r="FY101" s="22"/>
      <c r="FZ101" s="22"/>
      <c r="GA101" s="22"/>
      <c r="GB101" s="22"/>
      <c r="GC101" s="22"/>
      <c r="GD101" s="22"/>
      <c r="GE101" s="22"/>
      <c r="GF101" s="22"/>
      <c r="GG101" s="22"/>
      <c r="GH101" s="22"/>
      <c r="GI101" s="22"/>
      <c r="GJ101" s="22"/>
      <c r="GK101" s="22"/>
      <c r="GL101" s="22"/>
      <c r="GM101" s="22"/>
      <c r="GN101" s="22"/>
      <c r="GO101" s="22"/>
      <c r="GP101" s="22"/>
      <c r="GQ101" s="22"/>
      <c r="GR101" s="22"/>
      <c r="GS101" s="22"/>
      <c r="GT101" s="22"/>
      <c r="GU101" s="22"/>
      <c r="GV101" s="22"/>
      <c r="GW101" s="22"/>
      <c r="GX101" s="22"/>
      <c r="GY101" s="22"/>
      <c r="GZ101" s="22"/>
      <c r="HA101" s="22"/>
      <c r="HB101" s="22"/>
      <c r="HC101" s="22"/>
      <c r="HD101" s="22"/>
      <c r="HE101" s="22"/>
      <c r="HF101" s="22"/>
      <c r="HG101" s="22"/>
      <c r="HH101" s="22"/>
      <c r="HI101" s="22"/>
      <c r="HJ101" s="22"/>
      <c r="HK101" s="22"/>
      <c r="HL101" s="22"/>
      <c r="HM101" s="22"/>
      <c r="HN101" s="22"/>
      <c r="HO101" s="22"/>
      <c r="HP101" s="22"/>
      <c r="HQ101" s="22"/>
      <c r="HR101" s="22"/>
      <c r="HS101" s="22"/>
      <c r="HT101" s="22"/>
      <c r="HU101" s="22"/>
      <c r="HV101" s="22"/>
      <c r="HW101" s="22"/>
      <c r="HX101" s="22"/>
      <c r="HY101" s="22"/>
      <c r="HZ101" s="22"/>
      <c r="IA101" s="22"/>
      <c r="IB101" s="22"/>
      <c r="IC101" s="22"/>
      <c r="ID101" s="22"/>
      <c r="IE101" s="22"/>
      <c r="IF101" s="22"/>
      <c r="IG101" s="22"/>
      <c r="IH101" s="22"/>
      <c r="II101" s="22"/>
      <c r="IJ101" s="22"/>
      <c r="IK101" s="22"/>
      <c r="IL101" s="22"/>
      <c r="IM101" s="22"/>
      <c r="IN101" s="22"/>
      <c r="IO101" s="22"/>
      <c r="IP101" s="22"/>
      <c r="IQ101" s="22"/>
      <c r="IR101" s="22"/>
      <c r="IS101" s="22"/>
      <c r="IT101" s="22"/>
      <c r="IU101" s="22"/>
      <c r="IV101" s="22"/>
      <c r="IW101" s="22"/>
      <c r="IX101" s="22"/>
      <c r="IY101" s="22"/>
      <c r="IZ101" s="22"/>
      <c r="JA101" s="22"/>
      <c r="JB101" s="22"/>
      <c r="JC101" s="22"/>
      <c r="JD101" s="22"/>
      <c r="JE101" s="22"/>
      <c r="JF101" s="22"/>
      <c r="JG101" s="22"/>
      <c r="JH101" s="22"/>
      <c r="JI101" s="22"/>
      <c r="JJ101" s="22"/>
      <c r="JK101" s="22"/>
      <c r="JL101" s="22"/>
      <c r="JM101" s="22"/>
      <c r="JN101" s="22"/>
      <c r="JO101" s="22"/>
      <c r="JP101" s="22"/>
      <c r="JQ101" s="22"/>
      <c r="JR101" s="22"/>
      <c r="JS101" s="22"/>
      <c r="JT101" s="22"/>
      <c r="JU101" s="22"/>
      <c r="JV101" s="22"/>
      <c r="JW101" s="22"/>
      <c r="JX101" s="22"/>
      <c r="JY101" s="22"/>
      <c r="JZ101" s="22"/>
      <c r="KA101" s="22"/>
      <c r="KB101" s="22"/>
      <c r="KC101" s="22"/>
      <c r="KD101" s="22"/>
      <c r="KE101" s="22"/>
      <c r="KF101" s="22"/>
      <c r="KG101" s="22"/>
      <c r="KH101" s="22"/>
      <c r="KI101" s="22"/>
      <c r="KJ101" s="22"/>
      <c r="KK101" s="22"/>
      <c r="KL101" s="22"/>
      <c r="KM101" s="22"/>
      <c r="KN101" s="22"/>
      <c r="KO101" s="22"/>
      <c r="KP101" s="22"/>
      <c r="KQ101" s="22"/>
      <c r="KR101" s="22"/>
      <c r="KS101" s="22"/>
      <c r="KT101" s="22"/>
      <c r="KU101" s="22"/>
      <c r="KV101" s="22"/>
      <c r="KW101" s="22"/>
      <c r="KX101" s="22"/>
      <c r="KY101" s="22"/>
      <c r="KZ101" s="22"/>
      <c r="LA101" s="22"/>
      <c r="LB101" s="22"/>
      <c r="LC101" s="22"/>
      <c r="LD101" s="22"/>
      <c r="LE101" s="22"/>
      <c r="LF101" s="22"/>
      <c r="LG101" s="22"/>
      <c r="LH101" s="22"/>
      <c r="LI101" s="22"/>
      <c r="LJ101" s="22"/>
      <c r="LK101" s="22"/>
      <c r="LL101" s="22"/>
      <c r="LM101" s="22"/>
      <c r="LN101" s="22"/>
      <c r="LO101" s="22"/>
      <c r="LP101" s="22"/>
      <c r="LQ101" s="22"/>
      <c r="LR101" s="22"/>
      <c r="LS101" s="22"/>
      <c r="LT101" s="22"/>
      <c r="LU101" s="22"/>
      <c r="LV101" s="22"/>
      <c r="LW101" s="22"/>
      <c r="LX101" s="22"/>
      <c r="LY101" s="22"/>
      <c r="LZ101" s="22"/>
      <c r="MA101" s="22"/>
      <c r="MB101" s="22"/>
      <c r="MC101" s="22"/>
      <c r="MD101" s="22"/>
      <c r="ME101" s="22"/>
      <c r="MF101" s="22"/>
      <c r="MG101" s="22"/>
      <c r="MH101" s="22"/>
      <c r="MI101" s="22"/>
      <c r="MJ101" s="22"/>
      <c r="MK101" s="22"/>
      <c r="ML101" s="22"/>
      <c r="MM101" s="22"/>
      <c r="MN101" s="22"/>
      <c r="MO101" s="22"/>
      <c r="MP101" s="22"/>
      <c r="MQ101" s="22"/>
      <c r="MR101" s="22"/>
      <c r="MS101" s="22"/>
      <c r="MT101" s="22"/>
      <c r="MU101" s="22"/>
      <c r="MV101" s="22"/>
      <c r="MW101" s="22"/>
      <c r="MX101" s="22"/>
      <c r="MY101" s="22"/>
      <c r="MZ101" s="22"/>
      <c r="NA101" s="22"/>
      <c r="NB101" s="22"/>
      <c r="NC101" s="22"/>
      <c r="ND101" s="22"/>
      <c r="NE101" s="22"/>
      <c r="NF101" s="22"/>
      <c r="NG101" s="22"/>
      <c r="NH101" s="22"/>
      <c r="NI101" s="22"/>
      <c r="NJ101" s="22"/>
      <c r="NK101" s="22"/>
      <c r="NL101" s="22"/>
      <c r="NM101" s="22"/>
      <c r="NN101" s="22"/>
      <c r="NO101" s="22"/>
      <c r="NP101" s="22"/>
      <c r="NQ101" s="22"/>
      <c r="NR101" s="22"/>
      <c r="NS101" s="22"/>
      <c r="NT101" s="22"/>
      <c r="NU101" s="22"/>
      <c r="NV101" s="22"/>
      <c r="NW101" s="22"/>
      <c r="NX101" s="22"/>
      <c r="NY101" s="22"/>
      <c r="NZ101" s="22"/>
      <c r="OA101" s="22"/>
      <c r="OB101" s="22"/>
      <c r="OC101" s="22"/>
      <c r="OD101" s="22"/>
      <c r="OE101" s="22"/>
      <c r="OF101" s="22"/>
      <c r="OG101" s="22"/>
      <c r="OH101" s="22"/>
      <c r="OI101" s="22"/>
      <c r="OJ101" s="22"/>
      <c r="OK101" s="22"/>
      <c r="OL101" s="22"/>
      <c r="OM101" s="22"/>
      <c r="ON101" s="22"/>
      <c r="OO101" s="22"/>
      <c r="OP101" s="22"/>
      <c r="OQ101" s="22"/>
      <c r="OR101" s="22"/>
      <c r="OS101" s="22"/>
      <c r="OT101" s="22"/>
      <c r="OU101" s="22"/>
      <c r="OV101" s="22"/>
      <c r="OW101" s="22"/>
      <c r="OX101" s="22"/>
      <c r="OY101" s="22"/>
      <c r="OZ101" s="22"/>
      <c r="PA101" s="22"/>
      <c r="PB101" s="22"/>
      <c r="PC101" s="22"/>
      <c r="PD101" s="22"/>
      <c r="PE101" s="22"/>
      <c r="PF101" s="22"/>
      <c r="PG101" s="22"/>
      <c r="PH101" s="22"/>
      <c r="PI101" s="22"/>
      <c r="PJ101" s="22"/>
      <c r="PK101" s="22"/>
      <c r="PL101" s="22"/>
      <c r="PM101" s="22"/>
      <c r="PN101" s="22"/>
      <c r="PO101" s="22"/>
      <c r="PP101" s="22"/>
      <c r="PQ101" s="22"/>
      <c r="PR101" s="22"/>
      <c r="PS101" s="22"/>
      <c r="PT101" s="22"/>
      <c r="PU101" s="22"/>
      <c r="PV101" s="22"/>
      <c r="PW101" s="22"/>
      <c r="PX101" s="22"/>
      <c r="PY101" s="22"/>
      <c r="PZ101" s="22"/>
      <c r="QA101" s="22"/>
      <c r="QB101" s="22"/>
      <c r="QC101" s="22"/>
      <c r="QD101" s="22"/>
      <c r="QE101" s="22"/>
      <c r="QF101" s="22"/>
      <c r="QG101" s="22"/>
      <c r="QH101" s="22"/>
      <c r="QI101" s="22"/>
      <c r="QJ101" s="22"/>
      <c r="QK101" s="22"/>
      <c r="QL101" s="22"/>
      <c r="QM101" s="22"/>
      <c r="QN101" s="22"/>
      <c r="QO101" s="22"/>
      <c r="QP101" s="22"/>
      <c r="QQ101" s="22"/>
      <c r="QR101" s="22"/>
      <c r="QS101" s="22"/>
      <c r="QT101" s="22"/>
      <c r="QU101" s="22"/>
      <c r="QV101" s="22"/>
      <c r="QW101" s="22"/>
      <c r="QX101" s="22"/>
      <c r="QY101" s="22"/>
      <c r="QZ101" s="22"/>
      <c r="RA101" s="22"/>
      <c r="RB101" s="22"/>
      <c r="RC101" s="22"/>
      <c r="RD101" s="22"/>
      <c r="RE101" s="22"/>
      <c r="RF101" s="22"/>
      <c r="RG101" s="22"/>
      <c r="RH101" s="22"/>
      <c r="RI101" s="22"/>
      <c r="RJ101" s="22"/>
      <c r="RK101" s="22"/>
      <c r="RL101" s="22"/>
      <c r="RM101" s="22"/>
      <c r="RN101" s="22"/>
      <c r="RO101" s="22"/>
      <c r="RP101" s="22"/>
      <c r="RQ101" s="22"/>
      <c r="RR101" s="22"/>
      <c r="RS101" s="22"/>
      <c r="RT101" s="22"/>
      <c r="RU101" s="22"/>
      <c r="RV101" s="22"/>
      <c r="RW101" s="22"/>
      <c r="RX101" s="22"/>
      <c r="RY101" s="22"/>
      <c r="RZ101" s="22"/>
      <c r="SA101" s="22"/>
      <c r="SB101" s="22"/>
      <c r="SC101" s="22"/>
      <c r="SD101" s="22"/>
      <c r="SE101" s="22"/>
      <c r="SF101" s="22"/>
      <c r="SG101" s="22"/>
      <c r="SH101" s="22"/>
      <c r="SI101" s="22"/>
      <c r="SJ101" s="22"/>
      <c r="SK101" s="22"/>
      <c r="SL101" s="22"/>
      <c r="SM101" s="22"/>
      <c r="SN101" s="22"/>
      <c r="SO101" s="22"/>
      <c r="SP101" s="22"/>
      <c r="SQ101" s="22"/>
      <c r="SR101" s="22"/>
      <c r="SS101" s="22"/>
      <c r="ST101" s="22"/>
      <c r="SU101" s="22"/>
      <c r="SV101" s="22"/>
      <c r="SW101" s="22"/>
      <c r="SX101" s="22"/>
      <c r="SY101" s="22"/>
      <c r="SZ101" s="22"/>
      <c r="TA101" s="22"/>
      <c r="TB101" s="22"/>
      <c r="TC101" s="22"/>
      <c r="TD101" s="22"/>
      <c r="TE101" s="22"/>
      <c r="TF101" s="22"/>
      <c r="TG101" s="22"/>
      <c r="TH101" s="22"/>
      <c r="TI101" s="22"/>
      <c r="TJ101" s="22"/>
      <c r="TK101" s="22"/>
      <c r="TL101" s="22"/>
      <c r="TM101" s="22"/>
      <c r="TN101" s="22"/>
      <c r="TO101" s="22"/>
      <c r="TP101" s="22"/>
      <c r="TQ101" s="22"/>
      <c r="TR101" s="22"/>
      <c r="TS101" s="22"/>
      <c r="TT101" s="22"/>
      <c r="TU101" s="22"/>
      <c r="TV101" s="22"/>
      <c r="TW101" s="22"/>
      <c r="TX101" s="22"/>
      <c r="TY101" s="22"/>
      <c r="TZ101" s="22"/>
      <c r="UA101" s="22"/>
      <c r="UB101" s="22"/>
      <c r="UC101" s="22"/>
      <c r="UD101" s="22"/>
      <c r="UE101" s="22"/>
      <c r="UF101" s="22"/>
      <c r="UG101" s="22"/>
      <c r="UH101" s="22"/>
      <c r="UI101" s="22"/>
      <c r="UJ101" s="22"/>
      <c r="UK101" s="22"/>
      <c r="UL101" s="22"/>
      <c r="UM101" s="22"/>
      <c r="UN101" s="22"/>
      <c r="UO101" s="22"/>
      <c r="UP101" s="22"/>
      <c r="UQ101" s="22"/>
      <c r="UR101" s="22"/>
      <c r="US101" s="22"/>
      <c r="UT101" s="22"/>
      <c r="UU101" s="22"/>
      <c r="UV101" s="22"/>
      <c r="UW101" s="22"/>
      <c r="UX101" s="22"/>
      <c r="UY101" s="22"/>
      <c r="UZ101" s="22"/>
      <c r="VA101" s="22"/>
      <c r="VB101" s="22"/>
      <c r="VC101" s="22"/>
      <c r="VD101" s="22"/>
      <c r="VE101" s="22"/>
      <c r="VF101" s="22"/>
      <c r="VG101" s="22"/>
      <c r="VH101" s="22"/>
      <c r="VI101" s="22"/>
      <c r="VJ101" s="22"/>
      <c r="VK101" s="22"/>
      <c r="VL101" s="22"/>
      <c r="VM101" s="22"/>
      <c r="VN101" s="22"/>
      <c r="VO101" s="22"/>
      <c r="VP101" s="22"/>
      <c r="VQ101" s="22"/>
      <c r="VR101" s="22"/>
      <c r="VS101" s="22"/>
      <c r="VT101" s="22"/>
      <c r="VU101" s="22"/>
      <c r="VV101" s="22"/>
      <c r="VW101" s="22"/>
      <c r="VX101" s="22"/>
      <c r="VY101" s="22"/>
      <c r="VZ101" s="22"/>
      <c r="WA101" s="22"/>
      <c r="WB101" s="22"/>
      <c r="WC101" s="22"/>
      <c r="WD101" s="22"/>
      <c r="WE101" s="22"/>
      <c r="WF101" s="22"/>
      <c r="WG101" s="22"/>
      <c r="WH101" s="22"/>
      <c r="WI101" s="22"/>
      <c r="WJ101" s="22"/>
      <c r="WK101" s="22"/>
      <c r="WL101" s="22"/>
      <c r="WM101" s="22"/>
      <c r="WN101" s="22"/>
      <c r="WO101" s="22"/>
      <c r="WP101" s="22"/>
      <c r="WQ101" s="22"/>
      <c r="WR101" s="22"/>
      <c r="WS101" s="22"/>
      <c r="WT101" s="22"/>
      <c r="WU101" s="22"/>
      <c r="WV101" s="22"/>
      <c r="WW101" s="22"/>
      <c r="WX101" s="22"/>
      <c r="WY101" s="22"/>
      <c r="WZ101" s="22"/>
      <c r="XA101" s="22"/>
      <c r="XB101" s="22"/>
      <c r="XC101" s="22"/>
      <c r="XD101" s="22"/>
      <c r="XE101" s="22"/>
      <c r="XF101" s="22"/>
      <c r="XG101" s="22"/>
      <c r="XH101" s="22"/>
      <c r="XI101" s="22"/>
      <c r="XJ101" s="22"/>
      <c r="XK101" s="22"/>
      <c r="XL101" s="22"/>
      <c r="XM101" s="22"/>
      <c r="XN101" s="22"/>
      <c r="XO101" s="22"/>
      <c r="XP101" s="22"/>
      <c r="XQ101" s="22"/>
      <c r="XR101" s="22"/>
      <c r="XS101" s="22"/>
      <c r="XT101" s="22"/>
      <c r="XU101" s="22"/>
      <c r="XV101" s="22"/>
      <c r="XW101" s="22"/>
      <c r="XX101" s="22"/>
      <c r="XY101" s="22"/>
      <c r="XZ101" s="22"/>
      <c r="YA101" s="22"/>
      <c r="YB101" s="22"/>
      <c r="YC101" s="22"/>
      <c r="YD101" s="22"/>
      <c r="YE101" s="22"/>
      <c r="YF101" s="22"/>
      <c r="YG101" s="22"/>
      <c r="YH101" s="22"/>
      <c r="YI101" s="22"/>
      <c r="YJ101" s="22"/>
      <c r="YK101" s="22"/>
      <c r="YL101" s="22"/>
      <c r="YM101" s="22"/>
      <c r="YN101" s="22"/>
      <c r="YO101" s="22"/>
      <c r="YP101" s="22"/>
      <c r="YQ101" s="22"/>
      <c r="YR101" s="22"/>
      <c r="YS101" s="22"/>
      <c r="YT101" s="22"/>
      <c r="YU101" s="22"/>
      <c r="YV101" s="22"/>
      <c r="YW101" s="22"/>
      <c r="YX101" s="22"/>
      <c r="YY101" s="22"/>
      <c r="YZ101" s="22"/>
      <c r="ZA101" s="22"/>
      <c r="ZB101" s="22"/>
      <c r="ZC101" s="22"/>
      <c r="ZD101" s="22"/>
      <c r="ZE101" s="22"/>
      <c r="ZF101" s="22"/>
      <c r="ZG101" s="22"/>
      <c r="ZH101" s="22"/>
      <c r="ZI101" s="22"/>
      <c r="ZJ101" s="22"/>
      <c r="ZK101" s="22"/>
      <c r="ZL101" s="22"/>
      <c r="ZM101" s="22"/>
      <c r="ZN101" s="22"/>
      <c r="ZO101" s="22"/>
      <c r="ZP101" s="22"/>
      <c r="ZQ101" s="22"/>
      <c r="ZR101" s="22"/>
      <c r="ZS101" s="22"/>
      <c r="ZT101" s="22"/>
      <c r="ZU101" s="22"/>
      <c r="ZV101" s="22"/>
      <c r="ZW101" s="22"/>
      <c r="ZX101" s="22"/>
      <c r="ZY101" s="22"/>
      <c r="ZZ101" s="22"/>
      <c r="AAA101" s="22"/>
      <c r="AAB101" s="22"/>
      <c r="AAC101" s="22"/>
      <c r="AAD101" s="22"/>
      <c r="AAE101" s="22"/>
      <c r="AAF101" s="22"/>
      <c r="AAG101" s="22"/>
      <c r="AAH101" s="22"/>
      <c r="AAI101" s="22"/>
      <c r="AAJ101" s="22"/>
      <c r="AAK101" s="22"/>
      <c r="AAL101" s="22"/>
      <c r="AAM101" s="22"/>
      <c r="AAN101" s="22"/>
      <c r="AAO101" s="22"/>
      <c r="AAP101" s="22"/>
      <c r="AAQ101" s="22"/>
      <c r="AAR101" s="22"/>
      <c r="AAS101" s="22"/>
      <c r="AAT101" s="22"/>
      <c r="AAU101" s="22"/>
      <c r="AAV101" s="22"/>
      <c r="AAW101" s="22"/>
      <c r="AAX101" s="22"/>
      <c r="AAY101" s="22"/>
      <c r="AAZ101" s="22"/>
      <c r="ABA101" s="22"/>
      <c r="ABB101" s="22"/>
      <c r="ABC101" s="22"/>
      <c r="ABD101" s="22"/>
      <c r="ABE101" s="22"/>
      <c r="ABF101" s="22"/>
      <c r="ABG101" s="22"/>
      <c r="ABH101" s="22"/>
      <c r="ABI101" s="22"/>
      <c r="ABJ101" s="22"/>
      <c r="ABK101" s="22"/>
      <c r="ABL101" s="22"/>
      <c r="ABM101" s="22"/>
      <c r="ABN101" s="22"/>
      <c r="ABO101" s="22"/>
      <c r="ABP101" s="22"/>
      <c r="ABQ101" s="22"/>
      <c r="ABR101" s="22"/>
      <c r="ABS101" s="22"/>
      <c r="ABT101" s="22"/>
      <c r="ABU101" s="22"/>
      <c r="ABV101" s="22"/>
      <c r="ABW101" s="22"/>
      <c r="ABX101" s="22"/>
      <c r="ABY101" s="22"/>
      <c r="ABZ101" s="22"/>
      <c r="ACA101" s="22"/>
      <c r="ACB101" s="22"/>
      <c r="ACC101" s="22"/>
      <c r="ACD101" s="22"/>
      <c r="ACE101" s="22"/>
      <c r="ACF101" s="22"/>
      <c r="ACG101" s="22"/>
      <c r="ACH101" s="22"/>
      <c r="ACI101" s="22"/>
      <c r="ACJ101" s="22"/>
      <c r="ACK101" s="22"/>
      <c r="ACL101" s="22"/>
      <c r="ACM101" s="22"/>
      <c r="ACN101" s="22"/>
      <c r="ACO101" s="22"/>
      <c r="ACP101" s="22"/>
      <c r="ACQ101" s="22"/>
      <c r="ACR101" s="22"/>
      <c r="ACS101" s="22"/>
      <c r="ACT101" s="22"/>
      <c r="ACU101" s="22"/>
      <c r="ACV101" s="22"/>
      <c r="ACW101" s="22"/>
      <c r="ACX101" s="22"/>
      <c r="ACY101" s="22"/>
      <c r="ACZ101" s="22"/>
      <c r="ADA101" s="22"/>
      <c r="ADB101" s="22"/>
      <c r="ADC101" s="22"/>
      <c r="ADD101" s="22"/>
      <c r="ADE101" s="22"/>
      <c r="ADF101" s="22"/>
      <c r="ADG101" s="22"/>
      <c r="ADH101" s="22"/>
      <c r="ADI101" s="22"/>
      <c r="ADJ101" s="22"/>
      <c r="ADK101" s="22"/>
      <c r="ADL101" s="22"/>
      <c r="ADM101" s="22"/>
      <c r="ADN101" s="22"/>
      <c r="ADO101" s="22"/>
      <c r="ADP101" s="22"/>
      <c r="ADQ101" s="22"/>
      <c r="ADR101" s="22"/>
      <c r="ADS101" s="22"/>
      <c r="ADT101" s="22"/>
      <c r="ADU101" s="22"/>
      <c r="ADV101" s="22"/>
      <c r="ADW101" s="22"/>
      <c r="ADX101" s="22"/>
      <c r="ADY101" s="22"/>
      <c r="ADZ101" s="22"/>
      <c r="AEA101" s="22"/>
      <c r="AEB101" s="22"/>
      <c r="AEC101" s="22"/>
      <c r="AED101" s="22"/>
      <c r="AEE101" s="22"/>
      <c r="AEF101" s="22"/>
      <c r="AEG101" s="22"/>
      <c r="AEH101" s="22"/>
      <c r="AEI101" s="22"/>
      <c r="AEJ101" s="22"/>
      <c r="AEK101" s="22"/>
      <c r="AEL101" s="22"/>
      <c r="AEM101" s="22"/>
      <c r="AEN101" s="22"/>
      <c r="AEO101" s="22"/>
      <c r="AEP101" s="22"/>
      <c r="AEQ101" s="22"/>
      <c r="AER101" s="22"/>
      <c r="AES101" s="22"/>
      <c r="AET101" s="22"/>
      <c r="AEU101" s="22"/>
      <c r="AEV101" s="22"/>
      <c r="AEW101" s="22"/>
      <c r="AEX101" s="22"/>
      <c r="AEY101" s="22"/>
      <c r="AEZ101" s="22"/>
      <c r="AFA101" s="22"/>
      <c r="AFB101" s="22"/>
      <c r="AFC101" s="22"/>
      <c r="AFD101" s="22"/>
      <c r="AFE101" s="22"/>
      <c r="AFF101" s="22"/>
      <c r="AFG101" s="22"/>
      <c r="AFH101" s="22"/>
      <c r="AFI101" s="22"/>
      <c r="AFJ101" s="22"/>
      <c r="AFK101" s="22"/>
      <c r="AFL101" s="22"/>
      <c r="AFM101" s="22"/>
      <c r="AFN101" s="22"/>
      <c r="AFO101" s="22"/>
      <c r="AFP101" s="22"/>
      <c r="AFQ101" s="22"/>
      <c r="AFR101" s="22"/>
      <c r="AFS101" s="22"/>
      <c r="AFT101" s="22"/>
      <c r="AFU101" s="22"/>
      <c r="AFV101" s="22"/>
      <c r="AFW101" s="22"/>
      <c r="AFX101" s="22"/>
      <c r="AFY101" s="22"/>
      <c r="AFZ101" s="22"/>
      <c r="AGA101" s="22"/>
      <c r="AGB101" s="22"/>
      <c r="AGC101" s="22"/>
      <c r="AGD101" s="22"/>
      <c r="AGE101" s="22"/>
      <c r="AGF101" s="22"/>
      <c r="AGG101" s="22"/>
      <c r="AGH101" s="22"/>
      <c r="AGI101" s="22"/>
      <c r="AGJ101" s="22"/>
      <c r="AGK101" s="22"/>
      <c r="AGL101" s="22"/>
      <c r="AGM101" s="22"/>
      <c r="AGN101" s="22"/>
      <c r="AGO101" s="22"/>
      <c r="AGP101" s="22"/>
      <c r="AGQ101" s="22"/>
      <c r="AGR101" s="22"/>
      <c r="AGS101" s="22"/>
      <c r="AGT101" s="22"/>
      <c r="AGU101" s="22"/>
      <c r="AGV101" s="22"/>
      <c r="AGW101" s="22"/>
      <c r="AGX101" s="22"/>
      <c r="AGY101" s="22"/>
      <c r="AGZ101" s="22"/>
      <c r="AHA101" s="22"/>
      <c r="AHB101" s="22"/>
      <c r="AHC101" s="22"/>
      <c r="AHD101" s="22"/>
      <c r="AHE101" s="22"/>
      <c r="AHF101" s="22"/>
      <c r="AHG101" s="22"/>
      <c r="AHH101" s="22"/>
      <c r="AHI101" s="22"/>
      <c r="AHJ101" s="22"/>
      <c r="AHK101" s="22"/>
      <c r="AHL101" s="22"/>
      <c r="AHM101" s="22"/>
      <c r="AHN101" s="22"/>
      <c r="AHO101" s="22"/>
      <c r="AHP101" s="22"/>
      <c r="AHQ101" s="22"/>
      <c r="AHR101" s="22"/>
      <c r="AHS101" s="22"/>
      <c r="AHT101" s="22"/>
      <c r="AHU101" s="22"/>
      <c r="AHV101" s="22"/>
      <c r="AHW101" s="22"/>
      <c r="AHX101" s="22"/>
      <c r="AHY101" s="22"/>
      <c r="AHZ101" s="22"/>
      <c r="AIA101" s="22"/>
      <c r="AIB101" s="22"/>
      <c r="AIC101" s="22"/>
      <c r="AID101" s="22"/>
      <c r="AIE101" s="22"/>
      <c r="AIF101" s="22"/>
      <c r="AIG101" s="22"/>
      <c r="AIH101" s="22"/>
      <c r="AII101" s="22"/>
      <c r="AIJ101" s="22"/>
      <c r="AIK101" s="22"/>
      <c r="AIL101" s="22"/>
      <c r="AIM101" s="22"/>
      <c r="AIN101" s="22"/>
      <c r="AIO101" s="22"/>
      <c r="AIP101" s="22"/>
      <c r="AIQ101" s="22"/>
      <c r="AIR101" s="22"/>
      <c r="AIS101" s="22"/>
      <c r="AIT101" s="22"/>
      <c r="AIU101" s="22"/>
      <c r="AIV101" s="22"/>
      <c r="AIW101" s="22"/>
      <c r="AIX101" s="22"/>
      <c r="AIY101" s="22"/>
      <c r="AIZ101" s="22"/>
      <c r="AJA101" s="22"/>
      <c r="AJB101" s="22"/>
      <c r="AJC101" s="22"/>
      <c r="AJD101" s="22"/>
      <c r="AJE101" s="22"/>
      <c r="AJF101" s="22"/>
      <c r="AJG101" s="22"/>
      <c r="AJH101" s="22"/>
      <c r="AJI101" s="22"/>
      <c r="AJJ101" s="22"/>
      <c r="AJK101" s="22"/>
      <c r="AJL101" s="22"/>
      <c r="AJM101" s="22"/>
      <c r="AJN101" s="22"/>
      <c r="AJO101" s="22"/>
      <c r="AJP101" s="22"/>
      <c r="AJQ101" s="22"/>
      <c r="AJR101" s="22"/>
      <c r="AJS101" s="22"/>
      <c r="AJT101" s="22"/>
      <c r="AJU101" s="22"/>
      <c r="AJV101" s="22"/>
      <c r="AJW101" s="22"/>
      <c r="AJX101" s="22"/>
      <c r="AJY101" s="22"/>
      <c r="AJZ101" s="22"/>
      <c r="AKA101" s="22"/>
      <c r="AKB101" s="22"/>
      <c r="AKC101" s="22"/>
      <c r="AKD101" s="22"/>
      <c r="AKE101" s="22"/>
      <c r="AKF101" s="22"/>
      <c r="AKG101" s="22"/>
      <c r="AKH101" s="22"/>
      <c r="AKI101" s="22"/>
      <c r="AKJ101" s="22"/>
      <c r="AKK101" s="22"/>
      <c r="AKL101" s="22"/>
      <c r="AKM101" s="22"/>
      <c r="AKN101" s="22"/>
      <c r="AKO101" s="22"/>
      <c r="AKP101" s="22"/>
      <c r="AKQ101" s="22"/>
      <c r="AKR101" s="22"/>
      <c r="AKS101" s="22"/>
      <c r="AKT101" s="22"/>
      <c r="AKU101" s="22"/>
      <c r="AKV101" s="22"/>
      <c r="AKW101" s="22"/>
      <c r="AKX101" s="22"/>
      <c r="AKY101" s="22"/>
      <c r="AKZ101" s="22"/>
      <c r="ALA101" s="22"/>
      <c r="ALB101" s="22"/>
      <c r="ALC101" s="22"/>
      <c r="ALD101" s="22"/>
      <c r="ALE101" s="22"/>
      <c r="ALF101" s="22"/>
      <c r="ALG101" s="22"/>
      <c r="ALH101" s="22"/>
      <c r="ALI101" s="22"/>
      <c r="ALJ101" s="22"/>
      <c r="ALK101" s="22"/>
      <c r="ALL101" s="22"/>
      <c r="ALM101" s="22"/>
      <c r="ALN101" s="22"/>
      <c r="ALO101" s="22"/>
      <c r="ALP101" s="22"/>
      <c r="ALQ101" s="22"/>
      <c r="ALR101" s="22"/>
      <c r="ALS101" s="22"/>
      <c r="ALT101" s="22"/>
      <c r="ALU101" s="22"/>
      <c r="ALV101" s="22"/>
      <c r="ALW101" s="22"/>
      <c r="ALX101" s="22"/>
      <c r="ALY101" s="22"/>
      <c r="ALZ101" s="22"/>
      <c r="AMA101" s="22"/>
      <c r="AMB101" s="22"/>
      <c r="AMC101" s="22"/>
      <c r="AMD101" s="22"/>
      <c r="AME101" s="22"/>
      <c r="AMF101" s="22"/>
      <c r="AMG101" s="22"/>
      <c r="AMH101" s="22"/>
      <c r="AMI101" s="22"/>
      <c r="AMJ101" s="22"/>
      <c r="AMK101" s="22"/>
      <c r="AML101" s="22"/>
      <c r="AMM101" s="22"/>
      <c r="AMN101" s="22"/>
      <c r="AMO101" s="22"/>
      <c r="AMP101" s="22"/>
      <c r="AMQ101" s="22"/>
      <c r="AMR101" s="22"/>
      <c r="AMS101" s="22"/>
      <c r="AMT101" s="22"/>
      <c r="AMU101" s="22"/>
      <c r="AMV101" s="22"/>
      <c r="AMW101" s="22"/>
      <c r="AMX101" s="22"/>
      <c r="AMY101" s="22"/>
      <c r="AMZ101" s="22"/>
      <c r="ANA101" s="22"/>
      <c r="ANB101" s="22"/>
      <c r="ANC101" s="22"/>
      <c r="AND101" s="22"/>
      <c r="ANE101" s="22"/>
      <c r="ANF101" s="22"/>
      <c r="ANG101" s="22"/>
      <c r="ANH101" s="22"/>
      <c r="ANI101" s="22"/>
      <c r="ANJ101" s="22"/>
      <c r="ANK101" s="22"/>
      <c r="ANL101" s="22"/>
      <c r="ANM101" s="22"/>
      <c r="ANN101" s="22"/>
      <c r="ANO101" s="22"/>
      <c r="ANP101" s="22"/>
      <c r="ANQ101" s="22"/>
      <c r="ANR101" s="22"/>
      <c r="ANS101" s="22"/>
      <c r="ANT101" s="22"/>
      <c r="ANU101" s="22"/>
      <c r="ANV101" s="22"/>
      <c r="ANW101" s="22"/>
      <c r="ANX101" s="22"/>
      <c r="ANY101" s="22"/>
      <c r="ANZ101" s="22"/>
      <c r="AOA101" s="22"/>
      <c r="AOB101" s="22"/>
      <c r="AOC101" s="22"/>
      <c r="AOD101" s="22"/>
      <c r="AOE101" s="22"/>
      <c r="AOF101" s="22"/>
      <c r="AOG101" s="22"/>
      <c r="AOH101" s="22"/>
      <c r="AOI101" s="22"/>
      <c r="AOJ101" s="22"/>
      <c r="AOK101" s="22"/>
      <c r="AOL101" s="22"/>
      <c r="AOM101" s="22"/>
      <c r="AON101" s="22"/>
      <c r="AOO101" s="22"/>
      <c r="AOP101" s="22"/>
      <c r="AOQ101" s="22"/>
      <c r="AOR101" s="22"/>
      <c r="AOS101" s="22"/>
      <c r="AOT101" s="22"/>
      <c r="AOU101" s="22"/>
      <c r="AOV101" s="22"/>
      <c r="AOW101" s="22"/>
      <c r="AOX101" s="22"/>
      <c r="AOY101" s="22"/>
      <c r="AOZ101" s="22"/>
      <c r="APA101" s="22"/>
      <c r="APB101" s="22"/>
      <c r="APC101" s="22"/>
      <c r="APD101" s="22"/>
      <c r="APE101" s="22"/>
      <c r="APF101" s="22"/>
      <c r="APG101" s="22"/>
      <c r="APH101" s="22"/>
      <c r="API101" s="22"/>
      <c r="APJ101" s="22"/>
      <c r="APK101" s="22"/>
      <c r="APL101" s="22"/>
      <c r="APM101" s="22"/>
      <c r="APN101" s="22"/>
      <c r="APO101" s="22"/>
      <c r="APP101" s="22"/>
      <c r="APQ101" s="22"/>
      <c r="APR101" s="22"/>
      <c r="APS101" s="22"/>
      <c r="APT101" s="22"/>
      <c r="APU101" s="22"/>
      <c r="APV101" s="22"/>
      <c r="APW101" s="22"/>
      <c r="APX101" s="22"/>
      <c r="APY101" s="22"/>
      <c r="APZ101" s="22"/>
      <c r="AQA101" s="22"/>
      <c r="AQB101" s="22"/>
      <c r="AQC101" s="22"/>
      <c r="AQD101" s="22"/>
      <c r="AQE101" s="22"/>
      <c r="AQF101" s="22"/>
      <c r="AQG101" s="22"/>
      <c r="AQH101" s="22"/>
      <c r="AQI101" s="22"/>
      <c r="AQJ101" s="22"/>
      <c r="AQK101" s="22"/>
      <c r="AQL101" s="22"/>
      <c r="AQM101" s="22"/>
      <c r="AQN101" s="22"/>
      <c r="AQO101" s="22"/>
      <c r="AQP101" s="22"/>
      <c r="AQQ101" s="22"/>
      <c r="AQR101" s="22"/>
      <c r="AQS101" s="22"/>
      <c r="AQT101" s="22"/>
      <c r="AQU101" s="22"/>
      <c r="AQV101" s="22"/>
      <c r="AQW101" s="22"/>
      <c r="AQX101" s="22"/>
      <c r="AQY101" s="22"/>
      <c r="AQZ101" s="22"/>
      <c r="ARA101" s="22"/>
      <c r="ARB101" s="22"/>
      <c r="ARC101" s="22"/>
      <c r="ARD101" s="22"/>
      <c r="ARE101" s="22"/>
      <c r="ARF101" s="22"/>
      <c r="ARG101" s="22"/>
      <c r="ARH101" s="22"/>
      <c r="ARI101" s="22"/>
      <c r="ARJ101" s="22"/>
      <c r="ARK101" s="22"/>
      <c r="ARL101" s="22"/>
      <c r="ARM101" s="22"/>
      <c r="ARN101" s="22"/>
      <c r="ARO101" s="22"/>
      <c r="ARP101" s="22"/>
      <c r="ARQ101" s="22"/>
      <c r="ARR101" s="22"/>
      <c r="ARS101" s="22"/>
      <c r="ART101" s="22"/>
      <c r="ARU101" s="22"/>
      <c r="ARV101" s="22"/>
      <c r="ARW101" s="22"/>
      <c r="ARX101" s="22"/>
      <c r="ARY101" s="22"/>
      <c r="ARZ101" s="22"/>
      <c r="ASA101" s="22"/>
      <c r="ASB101" s="22"/>
      <c r="ASC101" s="22"/>
      <c r="ASD101" s="22"/>
      <c r="ASE101" s="22"/>
      <c r="ASF101" s="22"/>
      <c r="ASG101" s="22"/>
      <c r="ASH101" s="22"/>
      <c r="ASI101" s="22"/>
      <c r="ASJ101" s="22"/>
      <c r="ASK101" s="22"/>
      <c r="ASL101" s="22"/>
      <c r="ASM101" s="22"/>
      <c r="ASN101" s="22"/>
      <c r="ASO101" s="22"/>
      <c r="ASP101" s="22"/>
      <c r="ASQ101" s="22"/>
      <c r="ASR101" s="22"/>
      <c r="ASS101" s="22"/>
      <c r="AST101" s="22"/>
      <c r="ASU101" s="22"/>
      <c r="ASV101" s="22"/>
      <c r="ASW101" s="22"/>
      <c r="ASX101" s="22"/>
      <c r="ASY101" s="22"/>
      <c r="ASZ101" s="22"/>
      <c r="ATA101" s="22"/>
      <c r="ATB101" s="22"/>
      <c r="ATC101" s="22"/>
      <c r="ATD101" s="22"/>
      <c r="ATE101" s="22"/>
      <c r="ATF101" s="22"/>
      <c r="ATG101" s="22"/>
      <c r="ATH101" s="22"/>
      <c r="ATI101" s="22"/>
      <c r="ATJ101" s="22"/>
      <c r="ATK101" s="22"/>
      <c r="ATL101" s="22"/>
      <c r="ATM101" s="22"/>
      <c r="ATN101" s="22"/>
      <c r="ATO101" s="22"/>
      <c r="ATP101" s="22"/>
      <c r="ATQ101" s="22"/>
      <c r="ATR101" s="22"/>
      <c r="ATS101" s="22"/>
      <c r="ATT101" s="22"/>
      <c r="ATU101" s="22"/>
      <c r="ATV101" s="22"/>
      <c r="ATW101" s="22"/>
      <c r="ATX101" s="22"/>
      <c r="ATY101" s="22"/>
      <c r="ATZ101" s="22"/>
      <c r="AUA101" s="22"/>
      <c r="AUB101" s="22"/>
      <c r="AUC101" s="22"/>
      <c r="AUD101" s="22"/>
      <c r="AUE101" s="22"/>
      <c r="AUF101" s="22"/>
      <c r="AUG101" s="22"/>
      <c r="AUH101" s="22"/>
      <c r="AUI101" s="22"/>
      <c r="AUJ101" s="22"/>
      <c r="AUK101" s="22"/>
      <c r="AUL101" s="22"/>
      <c r="AUM101" s="22"/>
      <c r="AUN101" s="22"/>
      <c r="AUO101" s="22"/>
      <c r="AUP101" s="22"/>
      <c r="AUQ101" s="22"/>
      <c r="AUR101" s="22"/>
      <c r="AUS101" s="22"/>
      <c r="AUT101" s="22"/>
      <c r="AUU101" s="22"/>
      <c r="AUV101" s="22"/>
      <c r="AUW101" s="22"/>
      <c r="AUX101" s="22"/>
      <c r="AUY101" s="22"/>
      <c r="AUZ101" s="22"/>
      <c r="AVA101" s="22"/>
      <c r="AVB101" s="22"/>
      <c r="AVC101" s="22"/>
      <c r="AVD101" s="22"/>
      <c r="AVE101" s="22"/>
      <c r="AVF101" s="22"/>
      <c r="AVG101" s="22"/>
      <c r="AVH101" s="22"/>
      <c r="AVI101" s="22"/>
      <c r="AVJ101" s="22"/>
      <c r="AVK101" s="22"/>
      <c r="AVL101" s="22"/>
      <c r="AVM101" s="22"/>
      <c r="AVN101" s="22"/>
      <c r="AVO101" s="22"/>
      <c r="AVP101" s="22"/>
      <c r="AVQ101" s="22"/>
      <c r="AVR101" s="22"/>
      <c r="AVS101" s="22"/>
      <c r="AVT101" s="22"/>
      <c r="AVU101" s="22"/>
      <c r="AVV101" s="22"/>
      <c r="AVW101" s="22"/>
      <c r="AVX101" s="22"/>
      <c r="AVY101" s="22"/>
      <c r="AVZ101" s="22"/>
      <c r="AWA101" s="22"/>
      <c r="AWB101" s="22"/>
      <c r="AWC101" s="22"/>
      <c r="AWD101" s="22"/>
      <c r="AWE101" s="22"/>
      <c r="AWF101" s="22"/>
      <c r="AWG101" s="22"/>
      <c r="AWH101" s="22"/>
      <c r="AWI101" s="22"/>
      <c r="AWJ101" s="22"/>
      <c r="AWK101" s="22"/>
      <c r="AWL101" s="22"/>
      <c r="AWM101" s="22"/>
      <c r="AWN101" s="22"/>
      <c r="AWO101" s="22"/>
      <c r="AWP101" s="22"/>
      <c r="AWQ101" s="22"/>
      <c r="AWR101" s="22"/>
      <c r="AWS101" s="22"/>
      <c r="AWT101" s="22"/>
      <c r="AWU101" s="22"/>
      <c r="AWV101" s="22"/>
      <c r="AWW101" s="22"/>
      <c r="AWX101" s="22"/>
      <c r="AWY101" s="22"/>
      <c r="AWZ101" s="22"/>
      <c r="AXA101" s="22"/>
      <c r="AXB101" s="22"/>
      <c r="AXC101" s="22"/>
      <c r="AXD101" s="22"/>
      <c r="AXE101" s="22"/>
      <c r="AXF101" s="22"/>
      <c r="AXG101" s="22"/>
      <c r="AXH101" s="22"/>
      <c r="AXI101" s="22"/>
      <c r="AXJ101" s="22"/>
      <c r="AXK101" s="22"/>
      <c r="AXL101" s="22"/>
      <c r="AXM101" s="22"/>
      <c r="AXN101" s="22"/>
      <c r="AXO101" s="22"/>
      <c r="AXP101" s="22"/>
      <c r="AXQ101" s="22"/>
      <c r="AXR101" s="22"/>
      <c r="AXS101" s="22"/>
      <c r="AXT101" s="22"/>
      <c r="AXU101" s="22"/>
      <c r="AXV101" s="22"/>
      <c r="AXW101" s="22"/>
      <c r="AXX101" s="22"/>
      <c r="AXY101" s="22"/>
      <c r="AXZ101" s="22"/>
      <c r="AYA101" s="22"/>
      <c r="AYB101" s="22"/>
      <c r="AYC101" s="22"/>
      <c r="AYD101" s="22"/>
      <c r="AYE101" s="22"/>
      <c r="AYF101" s="22"/>
      <c r="AYG101" s="22"/>
      <c r="AYH101" s="22"/>
      <c r="AYI101" s="22"/>
      <c r="AYJ101" s="22"/>
      <c r="AYK101" s="22"/>
      <c r="AYL101" s="22"/>
      <c r="AYM101" s="22"/>
      <c r="AYN101" s="22"/>
      <c r="AYO101" s="22"/>
      <c r="AYP101" s="22"/>
      <c r="AYQ101" s="22"/>
      <c r="AYR101" s="22"/>
      <c r="AYS101" s="22"/>
      <c r="AYT101" s="22"/>
      <c r="AYU101" s="22"/>
      <c r="AYV101" s="22"/>
      <c r="AYW101" s="22"/>
      <c r="AYX101" s="22"/>
      <c r="AYY101" s="22"/>
      <c r="AYZ101" s="22"/>
      <c r="AZA101" s="22"/>
      <c r="AZB101" s="22"/>
      <c r="AZC101" s="22"/>
      <c r="AZD101" s="22"/>
      <c r="AZE101" s="22"/>
      <c r="AZF101" s="22"/>
      <c r="AZG101" s="22"/>
      <c r="AZH101" s="22"/>
      <c r="AZI101" s="22"/>
      <c r="AZJ101" s="22"/>
      <c r="AZK101" s="22"/>
      <c r="AZL101" s="22"/>
      <c r="AZM101" s="22"/>
      <c r="AZN101" s="22"/>
      <c r="AZO101" s="22"/>
      <c r="AZP101" s="22"/>
      <c r="AZQ101" s="22"/>
      <c r="AZR101" s="22"/>
      <c r="AZS101" s="22"/>
      <c r="AZT101" s="22"/>
      <c r="AZU101" s="22"/>
      <c r="AZV101" s="22"/>
      <c r="AZW101" s="22"/>
      <c r="AZX101" s="22"/>
      <c r="AZY101" s="22"/>
      <c r="AZZ101" s="22"/>
      <c r="BAA101" s="22"/>
      <c r="BAB101" s="22"/>
      <c r="BAC101" s="22"/>
      <c r="BAD101" s="22"/>
      <c r="BAE101" s="22"/>
      <c r="BAF101" s="22"/>
      <c r="BAG101" s="22"/>
      <c r="BAH101" s="22"/>
      <c r="BAI101" s="22"/>
      <c r="BAJ101" s="22"/>
      <c r="BAK101" s="22"/>
      <c r="BAL101" s="22"/>
      <c r="BAM101" s="22"/>
      <c r="BAN101" s="22"/>
      <c r="BAO101" s="22"/>
      <c r="BAP101" s="22"/>
      <c r="BAQ101" s="22"/>
      <c r="BAR101" s="22"/>
      <c r="BAS101" s="22"/>
      <c r="BAT101" s="22"/>
      <c r="BAU101" s="22"/>
      <c r="BAV101" s="22"/>
      <c r="BAW101" s="22"/>
      <c r="BAX101" s="22"/>
      <c r="BAY101" s="22"/>
      <c r="BAZ101" s="22"/>
      <c r="BBA101" s="22"/>
      <c r="BBB101" s="22"/>
      <c r="BBC101" s="22"/>
      <c r="BBD101" s="22"/>
      <c r="BBE101" s="22"/>
      <c r="BBF101" s="22"/>
      <c r="BBG101" s="22"/>
      <c r="BBH101" s="22"/>
      <c r="BBI101" s="22"/>
      <c r="BBJ101" s="22"/>
      <c r="BBK101" s="22"/>
      <c r="BBL101" s="22"/>
      <c r="BBM101" s="22"/>
      <c r="BBN101" s="22"/>
      <c r="BBO101" s="22"/>
      <c r="BBP101" s="22"/>
      <c r="BBQ101" s="22"/>
      <c r="BBR101" s="22"/>
      <c r="BBS101" s="22"/>
      <c r="BBT101" s="22"/>
      <c r="BBU101" s="22"/>
      <c r="BBV101" s="22"/>
      <c r="BBW101" s="22"/>
      <c r="BBX101" s="22"/>
      <c r="BBY101" s="22"/>
      <c r="BBZ101" s="22"/>
      <c r="BCA101" s="22"/>
      <c r="BCB101" s="22"/>
      <c r="BCC101" s="22"/>
      <c r="BCD101" s="22"/>
      <c r="BCE101" s="22"/>
      <c r="BCF101" s="22"/>
      <c r="BCG101" s="22"/>
      <c r="BCH101" s="22"/>
      <c r="BCI101" s="22"/>
      <c r="BCJ101" s="22"/>
      <c r="BCK101" s="22"/>
      <c r="BCL101" s="22"/>
      <c r="BCM101" s="22"/>
      <c r="BCN101" s="22"/>
      <c r="BCO101" s="22"/>
      <c r="BCP101" s="22"/>
      <c r="BCQ101" s="22"/>
      <c r="BCR101" s="22"/>
      <c r="BCS101" s="22"/>
      <c r="BCT101" s="22"/>
      <c r="BCU101" s="22"/>
      <c r="BCV101" s="22"/>
      <c r="BCW101" s="22"/>
      <c r="BCX101" s="22"/>
      <c r="BCY101" s="22"/>
      <c r="BCZ101" s="22"/>
      <c r="BDA101" s="22"/>
      <c r="BDB101" s="22"/>
      <c r="BDC101" s="22"/>
      <c r="BDD101" s="22"/>
      <c r="BDE101" s="22"/>
      <c r="BDF101" s="22"/>
      <c r="BDG101" s="22"/>
      <c r="BDH101" s="22"/>
      <c r="BDI101" s="22"/>
      <c r="BDJ101" s="22"/>
      <c r="BDK101" s="22"/>
      <c r="BDL101" s="22"/>
      <c r="BDM101" s="22"/>
      <c r="BDN101" s="22"/>
      <c r="BDO101" s="22"/>
      <c r="BDP101" s="22"/>
      <c r="BDQ101" s="22"/>
      <c r="BDR101" s="22"/>
      <c r="BDS101" s="22"/>
      <c r="BDT101" s="22"/>
      <c r="BDU101" s="22"/>
      <c r="BDV101" s="22"/>
      <c r="BDW101" s="22"/>
      <c r="BDX101" s="22"/>
      <c r="BDY101" s="22"/>
      <c r="BDZ101" s="22"/>
      <c r="BEA101" s="22"/>
      <c r="BEB101" s="22"/>
      <c r="BEC101" s="22"/>
      <c r="BED101" s="22"/>
      <c r="BEE101" s="22"/>
      <c r="BEF101" s="22"/>
      <c r="BEG101" s="22"/>
      <c r="BEH101" s="22"/>
      <c r="BEI101" s="22"/>
      <c r="BEJ101" s="22"/>
      <c r="BEK101" s="22"/>
      <c r="BEL101" s="22"/>
      <c r="BEM101" s="22"/>
      <c r="BEN101" s="22"/>
      <c r="BEO101" s="22"/>
      <c r="BEP101" s="22"/>
      <c r="BEQ101" s="22"/>
      <c r="BER101" s="22"/>
      <c r="BES101" s="22"/>
      <c r="BET101" s="22"/>
      <c r="BEU101" s="22"/>
      <c r="BEV101" s="22"/>
      <c r="BEW101" s="22"/>
      <c r="BEX101" s="22"/>
      <c r="BEY101" s="22"/>
      <c r="BEZ101" s="22"/>
      <c r="BFA101" s="22"/>
      <c r="BFB101" s="22"/>
      <c r="BFC101" s="22"/>
      <c r="BFD101" s="22"/>
      <c r="BFE101" s="22"/>
      <c r="BFF101" s="22"/>
      <c r="BFG101" s="22"/>
      <c r="BFH101" s="22"/>
      <c r="BFI101" s="22"/>
      <c r="BFJ101" s="22"/>
      <c r="BFK101" s="22"/>
      <c r="BFL101" s="22"/>
      <c r="BFM101" s="22"/>
      <c r="BFN101" s="22"/>
      <c r="BFO101" s="22"/>
      <c r="BFP101" s="22"/>
      <c r="BFQ101" s="22"/>
      <c r="BFR101" s="22"/>
      <c r="BFS101" s="22"/>
      <c r="BFT101" s="22"/>
      <c r="BFU101" s="22"/>
      <c r="BFV101" s="22"/>
      <c r="BFW101" s="22"/>
      <c r="BFX101" s="22"/>
      <c r="BFY101" s="22"/>
      <c r="BFZ101" s="22"/>
      <c r="BGA101" s="22"/>
      <c r="BGB101" s="22"/>
      <c r="BGC101" s="22"/>
      <c r="BGD101" s="22"/>
      <c r="BGE101" s="22"/>
      <c r="BGF101" s="22"/>
      <c r="BGG101" s="22"/>
      <c r="BGH101" s="22"/>
      <c r="BGI101" s="22"/>
      <c r="BGJ101" s="22"/>
      <c r="BGK101" s="22"/>
      <c r="BGL101" s="22"/>
      <c r="BGM101" s="22"/>
      <c r="BGN101" s="22"/>
      <c r="BGO101" s="22"/>
      <c r="BGP101" s="22"/>
      <c r="BGQ101" s="22"/>
      <c r="BGR101" s="22"/>
      <c r="BGS101" s="22"/>
      <c r="BGT101" s="22"/>
      <c r="BGU101" s="22"/>
      <c r="BGV101" s="22"/>
      <c r="BGW101" s="22"/>
      <c r="BGX101" s="22"/>
      <c r="BGY101" s="22"/>
      <c r="BGZ101" s="22"/>
      <c r="BHA101" s="22"/>
      <c r="BHB101" s="22"/>
      <c r="BHC101" s="22"/>
      <c r="BHD101" s="22"/>
      <c r="BHE101" s="22"/>
      <c r="BHF101" s="22"/>
      <c r="BHG101" s="22"/>
      <c r="BHH101" s="22"/>
      <c r="BHI101" s="22"/>
      <c r="BHJ101" s="22"/>
      <c r="BHK101" s="22"/>
      <c r="BHL101" s="22"/>
      <c r="BHM101" s="22"/>
      <c r="BHN101" s="22"/>
      <c r="BHO101" s="22"/>
      <c r="BHP101" s="22"/>
      <c r="BHQ101" s="22"/>
      <c r="BHR101" s="22"/>
      <c r="BHS101" s="22"/>
      <c r="BHT101" s="22"/>
      <c r="BHU101" s="22"/>
      <c r="BHV101" s="22"/>
      <c r="BHW101" s="22"/>
      <c r="BHX101" s="22"/>
      <c r="BHY101" s="22"/>
      <c r="BHZ101" s="22"/>
      <c r="BIA101" s="22"/>
      <c r="BIB101" s="22"/>
      <c r="BIC101" s="22"/>
      <c r="BID101" s="22"/>
      <c r="BIE101" s="22"/>
      <c r="BIF101" s="22"/>
      <c r="BIG101" s="22"/>
      <c r="BIH101" s="22"/>
      <c r="BII101" s="22"/>
      <c r="BIJ101" s="22"/>
      <c r="BIK101" s="22"/>
      <c r="BIL101" s="22"/>
      <c r="BIM101" s="22"/>
      <c r="BIN101" s="22"/>
      <c r="BIO101" s="22"/>
      <c r="BIP101" s="22"/>
      <c r="BIQ101" s="22"/>
      <c r="BIR101" s="22"/>
      <c r="BIS101" s="22"/>
      <c r="BIT101" s="22"/>
      <c r="BIU101" s="22"/>
      <c r="BIV101" s="22"/>
      <c r="BIW101" s="22"/>
      <c r="BIX101" s="22"/>
      <c r="BIY101" s="22"/>
      <c r="BIZ101" s="22"/>
      <c r="BJA101" s="22"/>
      <c r="BJB101" s="22"/>
      <c r="BJC101" s="22"/>
      <c r="BJD101" s="22"/>
      <c r="BJE101" s="22"/>
      <c r="BJF101" s="22"/>
      <c r="BJG101" s="22"/>
      <c r="BJH101" s="22"/>
      <c r="BJI101" s="22"/>
      <c r="BJJ101" s="22"/>
      <c r="BJK101" s="22"/>
      <c r="BJL101" s="22"/>
      <c r="BJM101" s="22"/>
      <c r="BJN101" s="22"/>
      <c r="BJO101" s="22"/>
      <c r="BJP101" s="22"/>
      <c r="BJQ101" s="22"/>
      <c r="BJR101" s="22"/>
      <c r="BJS101" s="22"/>
      <c r="BJT101" s="22"/>
      <c r="BJU101" s="22"/>
      <c r="BJV101" s="22"/>
      <c r="BJW101" s="22"/>
      <c r="BJX101" s="22"/>
      <c r="BJY101" s="22"/>
      <c r="BJZ101" s="22"/>
      <c r="BKA101" s="22"/>
      <c r="BKB101" s="22"/>
      <c r="BKC101" s="22"/>
      <c r="BKD101" s="22"/>
      <c r="BKE101" s="22"/>
      <c r="BKF101" s="22"/>
      <c r="BKG101" s="22"/>
      <c r="BKH101" s="22"/>
      <c r="BKI101" s="22"/>
      <c r="BKJ101" s="22"/>
      <c r="BKK101" s="22"/>
      <c r="BKL101" s="22"/>
      <c r="BKM101" s="22"/>
      <c r="BKN101" s="22"/>
      <c r="BKO101" s="22"/>
      <c r="BKP101" s="22"/>
      <c r="BKQ101" s="22"/>
      <c r="BKR101" s="22"/>
      <c r="BKS101" s="22"/>
      <c r="BKT101" s="22"/>
      <c r="BKU101" s="22"/>
      <c r="BKV101" s="22"/>
      <c r="BKW101" s="22"/>
      <c r="BKX101" s="22"/>
      <c r="BKY101" s="22"/>
      <c r="BKZ101" s="22"/>
      <c r="BLA101" s="22"/>
      <c r="BLB101" s="22"/>
      <c r="BLC101" s="22"/>
      <c r="BLD101" s="22"/>
      <c r="BLE101" s="22"/>
      <c r="BLF101" s="22"/>
      <c r="BLG101" s="22"/>
      <c r="BLH101" s="22"/>
      <c r="BLI101" s="22"/>
      <c r="BLJ101" s="22"/>
      <c r="BLK101" s="22"/>
      <c r="BLL101" s="22"/>
      <c r="BLM101" s="22"/>
      <c r="BLN101" s="22"/>
      <c r="BLO101" s="22"/>
      <c r="BLP101" s="22"/>
      <c r="BLQ101" s="22"/>
      <c r="BLR101" s="22"/>
      <c r="BLS101" s="22"/>
      <c r="BLT101" s="22"/>
      <c r="BLU101" s="22"/>
      <c r="BLV101" s="22"/>
      <c r="BLW101" s="22"/>
      <c r="BLX101" s="22"/>
      <c r="BLY101" s="22"/>
      <c r="BLZ101" s="22"/>
      <c r="BMA101" s="22"/>
      <c r="BMB101" s="22"/>
      <c r="BMC101" s="22"/>
      <c r="BMD101" s="22"/>
      <c r="BME101" s="22"/>
      <c r="BMF101" s="22"/>
      <c r="BMG101" s="22"/>
      <c r="BMH101" s="22"/>
      <c r="BMI101" s="22"/>
      <c r="BMJ101" s="22"/>
      <c r="BMK101" s="22"/>
      <c r="BML101" s="22"/>
      <c r="BMM101" s="22"/>
      <c r="BMN101" s="22"/>
      <c r="BMO101" s="22"/>
      <c r="BMP101" s="22"/>
      <c r="BMQ101" s="22"/>
      <c r="BMR101" s="22"/>
      <c r="BMS101" s="22"/>
      <c r="BMT101" s="22"/>
      <c r="BMU101" s="22"/>
      <c r="BMV101" s="22"/>
      <c r="BMW101" s="22"/>
      <c r="BMX101" s="22"/>
      <c r="BMY101" s="22"/>
      <c r="BMZ101" s="22"/>
      <c r="BNA101" s="22"/>
      <c r="BNB101" s="22"/>
      <c r="BNC101" s="22"/>
      <c r="BND101" s="22"/>
      <c r="BNE101" s="22"/>
      <c r="BNF101" s="22"/>
      <c r="BNG101" s="22"/>
      <c r="BNH101" s="22"/>
      <c r="BNI101" s="22"/>
      <c r="BNJ101" s="22"/>
      <c r="BNK101" s="22"/>
      <c r="BNL101" s="22"/>
      <c r="BNM101" s="22"/>
      <c r="BNN101" s="22"/>
      <c r="BNO101" s="22"/>
      <c r="BNP101" s="22"/>
      <c r="BNQ101" s="22"/>
      <c r="BNR101" s="22"/>
      <c r="BNS101" s="22"/>
      <c r="BNT101" s="22"/>
      <c r="BNU101" s="22"/>
      <c r="BNV101" s="22"/>
      <c r="BNW101" s="22"/>
      <c r="BNX101" s="22"/>
      <c r="BNY101" s="22"/>
      <c r="BNZ101" s="22"/>
      <c r="BOA101" s="22"/>
      <c r="BOB101" s="22"/>
      <c r="BOC101" s="22"/>
      <c r="BOD101" s="22"/>
      <c r="BOE101" s="22"/>
      <c r="BOF101" s="22"/>
      <c r="BOG101" s="22"/>
      <c r="BOH101" s="22"/>
      <c r="BOI101" s="22"/>
      <c r="BOJ101" s="22"/>
      <c r="BOK101" s="22"/>
      <c r="BOL101" s="22"/>
      <c r="BOM101" s="22"/>
      <c r="BON101" s="22"/>
      <c r="BOO101" s="22"/>
      <c r="BOP101" s="22"/>
      <c r="BOQ101" s="22"/>
      <c r="BOR101" s="22"/>
      <c r="BOS101" s="22"/>
      <c r="BOT101" s="22"/>
      <c r="BOU101" s="22"/>
      <c r="BOV101" s="22"/>
      <c r="BOW101" s="22"/>
      <c r="BOX101" s="22"/>
      <c r="BOY101" s="22"/>
      <c r="BOZ101" s="22"/>
      <c r="BPA101" s="22"/>
      <c r="BPB101" s="22"/>
      <c r="BPC101" s="22"/>
      <c r="BPD101" s="22"/>
      <c r="BPE101" s="22"/>
      <c r="BPF101" s="22"/>
      <c r="BPG101" s="22"/>
      <c r="BPH101" s="22"/>
      <c r="BPI101" s="22"/>
      <c r="BPJ101" s="22"/>
      <c r="BPK101" s="22"/>
      <c r="BPL101" s="22"/>
      <c r="BPM101" s="22"/>
      <c r="BPN101" s="22"/>
      <c r="BPO101" s="22"/>
      <c r="BPP101" s="22"/>
      <c r="BPQ101" s="22"/>
      <c r="BPR101" s="22"/>
      <c r="BPS101" s="22"/>
      <c r="BPT101" s="22"/>
      <c r="BPU101" s="22"/>
      <c r="BPV101" s="22"/>
      <c r="BPW101" s="22"/>
      <c r="BPX101" s="22"/>
      <c r="BPY101" s="22"/>
      <c r="BPZ101" s="22"/>
      <c r="BQA101" s="22"/>
      <c r="BQB101" s="22"/>
      <c r="BQC101" s="22"/>
      <c r="BQD101" s="22"/>
      <c r="BQE101" s="22"/>
      <c r="BQF101" s="22"/>
      <c r="BQG101" s="22"/>
      <c r="BQH101" s="22"/>
      <c r="BQI101" s="22"/>
      <c r="BQJ101" s="22"/>
      <c r="BQK101" s="22"/>
      <c r="BQL101" s="22"/>
      <c r="BQM101" s="22"/>
      <c r="BQN101" s="22"/>
      <c r="BQO101" s="22"/>
      <c r="BQP101" s="22"/>
      <c r="BQQ101" s="22"/>
      <c r="BQR101" s="22"/>
      <c r="BQS101" s="22"/>
      <c r="BQT101" s="22"/>
      <c r="BQU101" s="22"/>
      <c r="BQV101" s="22"/>
      <c r="BQW101" s="22"/>
      <c r="BQX101" s="22"/>
      <c r="BQY101" s="22"/>
      <c r="BQZ101" s="22"/>
      <c r="BRA101" s="22"/>
      <c r="BRB101" s="22"/>
      <c r="BRC101" s="22"/>
      <c r="BRD101" s="22"/>
      <c r="BRE101" s="22"/>
      <c r="BRF101" s="22"/>
      <c r="BRG101" s="22"/>
      <c r="BRH101" s="22"/>
      <c r="BRI101" s="22"/>
      <c r="BRJ101" s="22"/>
      <c r="BRK101" s="22"/>
      <c r="BRL101" s="22"/>
      <c r="BRM101" s="22"/>
      <c r="BRN101" s="22"/>
      <c r="BRO101" s="22"/>
      <c r="BRP101" s="22"/>
      <c r="BRQ101" s="22"/>
      <c r="BRR101" s="22"/>
      <c r="BRS101" s="22"/>
      <c r="BRT101" s="22"/>
      <c r="BRU101" s="22"/>
      <c r="BRV101" s="22"/>
      <c r="BRW101" s="22"/>
      <c r="BRX101" s="22"/>
      <c r="BRY101" s="22"/>
      <c r="BRZ101" s="22"/>
      <c r="BSA101" s="22"/>
      <c r="BSB101" s="22"/>
      <c r="BSC101" s="22"/>
      <c r="BSD101" s="22"/>
      <c r="BSE101" s="22"/>
      <c r="BSF101" s="22"/>
      <c r="BSG101" s="22"/>
      <c r="BSH101" s="22"/>
      <c r="BSI101" s="22"/>
      <c r="BSJ101" s="22"/>
      <c r="BSK101" s="22"/>
      <c r="BSL101" s="22"/>
      <c r="BSM101" s="22"/>
      <c r="BSN101" s="22"/>
      <c r="BSO101" s="22"/>
      <c r="BSP101" s="22"/>
      <c r="BSQ101" s="22"/>
      <c r="BSR101" s="22"/>
      <c r="BSS101" s="22"/>
      <c r="BST101" s="22"/>
      <c r="BSU101" s="22"/>
      <c r="BSV101" s="22"/>
      <c r="BSW101" s="22"/>
      <c r="BSX101" s="22"/>
      <c r="BSY101" s="22"/>
      <c r="BSZ101" s="22"/>
      <c r="BTA101" s="22"/>
      <c r="BTB101" s="22"/>
      <c r="BTC101" s="22"/>
      <c r="BTD101" s="22"/>
      <c r="BTE101" s="22"/>
      <c r="BTF101" s="22"/>
      <c r="BTG101" s="22"/>
      <c r="BTH101" s="22"/>
      <c r="BTI101" s="22"/>
      <c r="BTJ101" s="22"/>
      <c r="BTK101" s="22"/>
      <c r="BTL101" s="22"/>
      <c r="BTM101" s="22"/>
      <c r="BTN101" s="22"/>
      <c r="BTO101" s="22"/>
      <c r="BTP101" s="22"/>
      <c r="BTQ101" s="22"/>
      <c r="BTR101" s="22"/>
      <c r="BTS101" s="22"/>
      <c r="BTT101" s="22"/>
      <c r="BTU101" s="22"/>
      <c r="BTV101" s="22"/>
      <c r="BTW101" s="22"/>
      <c r="BTX101" s="22"/>
      <c r="BTY101" s="22"/>
      <c r="BTZ101" s="22"/>
      <c r="BUA101" s="22"/>
      <c r="BUB101" s="22"/>
      <c r="BUC101" s="22"/>
      <c r="BUD101" s="22"/>
      <c r="BUE101" s="22"/>
      <c r="BUF101" s="22"/>
      <c r="BUG101" s="22"/>
      <c r="BUH101" s="22"/>
      <c r="BUI101" s="22"/>
      <c r="BUJ101" s="22"/>
      <c r="BUK101" s="22"/>
      <c r="BUL101" s="22"/>
      <c r="BUM101" s="22"/>
      <c r="BUN101" s="22"/>
      <c r="BUO101" s="22"/>
      <c r="BUP101" s="22"/>
      <c r="BUQ101" s="22"/>
      <c r="BUR101" s="22"/>
      <c r="BUS101" s="22"/>
      <c r="BUT101" s="22"/>
      <c r="BUU101" s="22"/>
      <c r="BUV101" s="22"/>
      <c r="BUW101" s="22"/>
      <c r="BUX101" s="22"/>
      <c r="BUY101" s="22"/>
      <c r="BUZ101" s="22"/>
      <c r="BVA101" s="22"/>
      <c r="BVB101" s="22"/>
      <c r="BVC101" s="22"/>
      <c r="BVD101" s="22"/>
      <c r="BVE101" s="22"/>
      <c r="BVF101" s="22"/>
      <c r="BVG101" s="22"/>
      <c r="BVH101" s="22"/>
      <c r="BVI101" s="22"/>
      <c r="BVJ101" s="22"/>
      <c r="BVK101" s="22"/>
      <c r="BVL101" s="22"/>
      <c r="BVM101" s="22"/>
      <c r="BVN101" s="22"/>
      <c r="BVO101" s="22"/>
      <c r="BVP101" s="22"/>
      <c r="BVQ101" s="22"/>
      <c r="BVR101" s="22"/>
      <c r="BVS101" s="22"/>
      <c r="BVT101" s="22"/>
      <c r="BVU101" s="22"/>
      <c r="BVV101" s="22"/>
      <c r="BVW101" s="22"/>
      <c r="BVX101" s="22"/>
      <c r="BVY101" s="22"/>
      <c r="BVZ101" s="22"/>
      <c r="BWA101" s="22"/>
      <c r="BWB101" s="22"/>
      <c r="BWC101" s="22"/>
      <c r="BWD101" s="22"/>
      <c r="BWE101" s="22"/>
      <c r="BWF101" s="22"/>
      <c r="BWG101" s="22"/>
      <c r="BWH101" s="22"/>
      <c r="BWI101" s="22"/>
      <c r="BWJ101" s="22"/>
      <c r="BWK101" s="22"/>
      <c r="BWL101" s="22"/>
      <c r="BWM101" s="22"/>
      <c r="BWN101" s="22"/>
      <c r="BWO101" s="22"/>
      <c r="BWP101" s="22"/>
      <c r="BWQ101" s="22"/>
      <c r="BWR101" s="22"/>
      <c r="BWS101" s="22"/>
      <c r="BWT101" s="22"/>
      <c r="BWU101" s="22"/>
      <c r="BWV101" s="22"/>
      <c r="BWW101" s="22"/>
      <c r="BWX101" s="22"/>
      <c r="BWY101" s="22"/>
      <c r="BWZ101" s="22"/>
      <c r="BXA101" s="22"/>
      <c r="BXB101" s="22"/>
      <c r="BXC101" s="22"/>
      <c r="BXD101" s="22"/>
      <c r="BXE101" s="22"/>
      <c r="BXF101" s="22"/>
      <c r="BXG101" s="22"/>
      <c r="BXH101" s="22"/>
      <c r="BXI101" s="22"/>
      <c r="BXJ101" s="22"/>
      <c r="BXK101" s="22"/>
      <c r="BXL101" s="22"/>
      <c r="BXM101" s="22"/>
      <c r="BXN101" s="22"/>
      <c r="BXO101" s="22"/>
      <c r="BXP101" s="22"/>
      <c r="BXQ101" s="22"/>
      <c r="BXR101" s="22"/>
      <c r="BXS101" s="22"/>
      <c r="BXT101" s="22"/>
      <c r="BXU101" s="22"/>
      <c r="BXV101" s="22"/>
      <c r="BXW101" s="22"/>
      <c r="BXX101" s="22"/>
      <c r="BXY101" s="22"/>
      <c r="BXZ101" s="22"/>
      <c r="BYA101" s="22"/>
      <c r="BYB101" s="22"/>
      <c r="BYC101" s="22"/>
      <c r="BYD101" s="22"/>
      <c r="BYE101" s="22"/>
      <c r="BYF101" s="22"/>
      <c r="BYG101" s="22"/>
      <c r="BYH101" s="22"/>
      <c r="BYI101" s="22"/>
      <c r="BYJ101" s="22"/>
      <c r="BYK101" s="22"/>
      <c r="BYL101" s="22"/>
      <c r="BYM101" s="22"/>
      <c r="BYN101" s="22"/>
      <c r="BYO101" s="22"/>
      <c r="BYP101" s="22"/>
      <c r="BYQ101" s="22"/>
      <c r="BYR101" s="22"/>
      <c r="BYS101" s="22"/>
      <c r="BYT101" s="22"/>
      <c r="BYU101" s="22"/>
      <c r="BYV101" s="22"/>
      <c r="BYW101" s="22"/>
      <c r="BYX101" s="22"/>
      <c r="BYY101" s="22"/>
      <c r="BYZ101" s="22"/>
      <c r="BZA101" s="22"/>
      <c r="BZB101" s="22"/>
      <c r="BZC101" s="22"/>
      <c r="BZD101" s="22"/>
      <c r="BZE101" s="22"/>
      <c r="BZF101" s="22"/>
      <c r="BZG101" s="22"/>
      <c r="BZH101" s="22"/>
      <c r="BZI101" s="22"/>
      <c r="BZJ101" s="22"/>
      <c r="BZK101" s="22"/>
      <c r="BZL101" s="22"/>
      <c r="BZM101" s="22"/>
      <c r="BZN101" s="22"/>
      <c r="BZO101" s="22"/>
      <c r="BZP101" s="22"/>
      <c r="BZQ101" s="22"/>
      <c r="BZR101" s="22"/>
      <c r="BZS101" s="22"/>
      <c r="BZT101" s="22"/>
      <c r="BZU101" s="22"/>
      <c r="BZV101" s="22"/>
      <c r="BZW101" s="22"/>
      <c r="BZX101" s="22"/>
      <c r="BZY101" s="22"/>
      <c r="BZZ101" s="22"/>
      <c r="CAA101" s="22"/>
      <c r="CAB101" s="22"/>
      <c r="CAC101" s="22"/>
      <c r="CAD101" s="22"/>
      <c r="CAE101" s="22"/>
      <c r="CAF101" s="22"/>
      <c r="CAG101" s="22"/>
      <c r="CAH101" s="22"/>
      <c r="CAI101" s="22"/>
      <c r="CAJ101" s="22"/>
      <c r="CAK101" s="22"/>
      <c r="CAL101" s="22"/>
      <c r="CAM101" s="22"/>
      <c r="CAN101" s="22"/>
      <c r="CAO101" s="22"/>
      <c r="CAP101" s="22"/>
      <c r="CAQ101" s="22"/>
      <c r="CAR101" s="22"/>
      <c r="CAS101" s="22"/>
      <c r="CAT101" s="22"/>
      <c r="CAU101" s="22"/>
      <c r="CAV101" s="22"/>
      <c r="CAW101" s="22"/>
      <c r="CAX101" s="22"/>
      <c r="CAY101" s="22"/>
      <c r="CAZ101" s="22"/>
      <c r="CBA101" s="22"/>
      <c r="CBB101" s="22"/>
      <c r="CBC101" s="22"/>
      <c r="CBD101" s="22"/>
      <c r="CBE101" s="22"/>
      <c r="CBF101" s="22"/>
      <c r="CBG101" s="22"/>
      <c r="CBH101" s="22"/>
      <c r="CBI101" s="22"/>
      <c r="CBJ101" s="22"/>
      <c r="CBK101" s="22"/>
      <c r="CBL101" s="22"/>
      <c r="CBM101" s="22"/>
      <c r="CBN101" s="22"/>
      <c r="CBO101" s="22"/>
      <c r="CBP101" s="22"/>
      <c r="CBQ101" s="22"/>
      <c r="CBR101" s="22"/>
      <c r="CBS101" s="22"/>
      <c r="CBT101" s="22"/>
      <c r="CBU101" s="22"/>
      <c r="CBV101" s="22"/>
      <c r="CBW101" s="22"/>
      <c r="CBX101" s="22"/>
      <c r="CBY101" s="22"/>
      <c r="CBZ101" s="22"/>
      <c r="CCA101" s="22"/>
      <c r="CCB101" s="22"/>
      <c r="CCC101" s="22"/>
      <c r="CCD101" s="22"/>
      <c r="CCE101" s="22"/>
      <c r="CCF101" s="22"/>
      <c r="CCG101" s="22"/>
      <c r="CCH101" s="22"/>
      <c r="CCI101" s="22"/>
      <c r="CCJ101" s="22"/>
      <c r="CCK101" s="22"/>
      <c r="CCL101" s="22"/>
      <c r="CCM101" s="22"/>
      <c r="CCN101" s="22"/>
      <c r="CCO101" s="22"/>
      <c r="CCP101" s="22"/>
      <c r="CCQ101" s="22"/>
      <c r="CCR101" s="22"/>
      <c r="CCS101" s="22"/>
      <c r="CCT101" s="22"/>
      <c r="CCU101" s="22"/>
      <c r="CCV101" s="22"/>
      <c r="CCW101" s="22"/>
      <c r="CCX101" s="22"/>
      <c r="CCY101" s="22"/>
      <c r="CCZ101" s="22"/>
      <c r="CDA101" s="22"/>
      <c r="CDB101" s="22"/>
      <c r="CDC101" s="22"/>
      <c r="CDD101" s="22"/>
      <c r="CDE101" s="22"/>
      <c r="CDF101" s="22"/>
      <c r="CDG101" s="22"/>
      <c r="CDH101" s="22"/>
      <c r="CDI101" s="22"/>
      <c r="CDJ101" s="22"/>
      <c r="CDK101" s="22"/>
      <c r="CDL101" s="22"/>
      <c r="CDM101" s="22"/>
      <c r="CDN101" s="22"/>
      <c r="CDO101" s="22"/>
      <c r="CDP101" s="22"/>
      <c r="CDQ101" s="22"/>
      <c r="CDR101" s="22"/>
      <c r="CDS101" s="22"/>
      <c r="CDT101" s="22"/>
      <c r="CDU101" s="22"/>
      <c r="CDV101" s="22"/>
      <c r="CDW101" s="22"/>
      <c r="CDX101" s="22"/>
      <c r="CDY101" s="22"/>
      <c r="CDZ101" s="22"/>
      <c r="CEA101" s="22"/>
      <c r="CEB101" s="22"/>
      <c r="CEC101" s="22"/>
      <c r="CED101" s="22"/>
      <c r="CEE101" s="22"/>
      <c r="CEF101" s="22"/>
      <c r="CEG101" s="22"/>
      <c r="CEH101" s="22"/>
      <c r="CEI101" s="22"/>
      <c r="CEJ101" s="22"/>
      <c r="CEK101" s="22"/>
      <c r="CEL101" s="22"/>
      <c r="CEM101" s="22"/>
      <c r="CEN101" s="22"/>
      <c r="CEO101" s="22"/>
      <c r="CEP101" s="22"/>
      <c r="CEQ101" s="22"/>
      <c r="CER101" s="22"/>
      <c r="CES101" s="22"/>
      <c r="CET101" s="22"/>
      <c r="CEU101" s="22"/>
      <c r="CEV101" s="22"/>
      <c r="CEW101" s="22"/>
      <c r="CEX101" s="22"/>
      <c r="CEY101" s="22"/>
      <c r="CEZ101" s="22"/>
      <c r="CFA101" s="22"/>
      <c r="CFB101" s="22"/>
      <c r="CFC101" s="22"/>
      <c r="CFD101" s="22"/>
      <c r="CFE101" s="22"/>
      <c r="CFF101" s="22"/>
      <c r="CFG101" s="22"/>
      <c r="CFH101" s="22"/>
      <c r="CFI101" s="22"/>
      <c r="CFJ101" s="22"/>
      <c r="CFK101" s="22"/>
      <c r="CFL101" s="22"/>
      <c r="CFM101" s="22"/>
      <c r="CFN101" s="22"/>
      <c r="CFO101" s="22"/>
      <c r="CFP101" s="22"/>
      <c r="CFQ101" s="22"/>
      <c r="CFR101" s="22"/>
      <c r="CFS101" s="22"/>
      <c r="CFT101" s="22"/>
      <c r="CFU101" s="22"/>
      <c r="CFV101" s="22"/>
      <c r="CFW101" s="22"/>
      <c r="CFX101" s="22"/>
      <c r="CFY101" s="22"/>
      <c r="CFZ101" s="22"/>
      <c r="CGA101" s="22"/>
      <c r="CGB101" s="22"/>
      <c r="CGC101" s="22"/>
      <c r="CGD101" s="22"/>
      <c r="CGE101" s="22"/>
      <c r="CGF101" s="22"/>
      <c r="CGG101" s="22"/>
      <c r="CGH101" s="22"/>
      <c r="CGI101" s="22"/>
      <c r="CGJ101" s="22"/>
      <c r="CGK101" s="22"/>
      <c r="CGL101" s="22"/>
      <c r="CGM101" s="22"/>
      <c r="CGN101" s="22"/>
      <c r="CGO101" s="22"/>
      <c r="CGP101" s="22"/>
      <c r="CGQ101" s="22"/>
      <c r="CGR101" s="22"/>
      <c r="CGS101" s="22"/>
      <c r="CGT101" s="22"/>
      <c r="CGU101" s="22"/>
      <c r="CGV101" s="22"/>
      <c r="CGW101" s="22"/>
      <c r="CGX101" s="22"/>
      <c r="CGY101" s="22"/>
      <c r="CGZ101" s="22"/>
      <c r="CHA101" s="22"/>
      <c r="CHB101" s="22"/>
      <c r="CHC101" s="22"/>
      <c r="CHD101" s="22"/>
      <c r="CHE101" s="22"/>
      <c r="CHF101" s="22"/>
      <c r="CHG101" s="22"/>
      <c r="CHH101" s="22"/>
      <c r="CHI101" s="22"/>
      <c r="CHJ101" s="22"/>
      <c r="CHK101" s="22"/>
      <c r="CHL101" s="22"/>
      <c r="CHM101" s="22"/>
      <c r="CHN101" s="22"/>
      <c r="CHO101" s="22"/>
      <c r="CHP101" s="22"/>
      <c r="CHQ101" s="22"/>
      <c r="CHR101" s="22"/>
      <c r="CHS101" s="22"/>
      <c r="CHT101" s="22"/>
      <c r="CHU101" s="22"/>
      <c r="CHV101" s="22"/>
      <c r="CHW101" s="22"/>
      <c r="CHX101" s="22"/>
      <c r="CHY101" s="22"/>
      <c r="CHZ101" s="22"/>
      <c r="CIA101" s="22"/>
      <c r="CIB101" s="22"/>
      <c r="CIC101" s="22"/>
      <c r="CID101" s="22"/>
      <c r="CIE101" s="22"/>
      <c r="CIF101" s="22"/>
      <c r="CIG101" s="22"/>
      <c r="CIH101" s="22"/>
      <c r="CII101" s="22"/>
      <c r="CIJ101" s="22"/>
      <c r="CIK101" s="22"/>
      <c r="CIL101" s="22"/>
      <c r="CIM101" s="22"/>
      <c r="CIN101" s="22"/>
      <c r="CIO101" s="22"/>
      <c r="CIP101" s="22"/>
      <c r="CIQ101" s="22"/>
      <c r="CIR101" s="22"/>
      <c r="CIS101" s="22"/>
      <c r="CIT101" s="22"/>
      <c r="CIU101" s="22"/>
      <c r="CIV101" s="22"/>
      <c r="CIW101" s="22"/>
      <c r="CIX101" s="22"/>
      <c r="CIY101" s="22"/>
      <c r="CIZ101" s="22"/>
      <c r="CJA101" s="22"/>
      <c r="CJB101" s="22"/>
      <c r="CJC101" s="22"/>
      <c r="CJD101" s="22"/>
      <c r="CJE101" s="22"/>
      <c r="CJF101" s="22"/>
      <c r="CJG101" s="22"/>
      <c r="CJH101" s="22"/>
      <c r="CJI101" s="22"/>
      <c r="CJJ101" s="22"/>
      <c r="CJK101" s="22"/>
      <c r="CJL101" s="22"/>
      <c r="CJM101" s="22"/>
      <c r="CJN101" s="22"/>
      <c r="CJO101" s="22"/>
      <c r="CJP101" s="22"/>
      <c r="CJQ101" s="22"/>
      <c r="CJR101" s="22"/>
      <c r="CJS101" s="22"/>
      <c r="CJT101" s="22"/>
      <c r="CJU101" s="22"/>
      <c r="CJV101" s="22"/>
      <c r="CJW101" s="22"/>
      <c r="CJX101" s="22"/>
      <c r="CJY101" s="22"/>
      <c r="CJZ101" s="22"/>
      <c r="CKA101" s="22"/>
      <c r="CKB101" s="22"/>
      <c r="CKC101" s="22"/>
      <c r="CKD101" s="22"/>
      <c r="CKE101" s="22"/>
      <c r="CKF101" s="22"/>
      <c r="CKG101" s="22"/>
      <c r="CKH101" s="22"/>
      <c r="CKI101" s="22"/>
      <c r="CKJ101" s="22"/>
      <c r="CKK101" s="22"/>
      <c r="CKL101" s="22"/>
      <c r="CKM101" s="22"/>
      <c r="CKN101" s="22"/>
      <c r="CKO101" s="22"/>
      <c r="CKP101" s="22"/>
      <c r="CKQ101" s="22"/>
      <c r="CKR101" s="22"/>
      <c r="CKS101" s="22"/>
      <c r="CKT101" s="22"/>
      <c r="CKU101" s="22"/>
      <c r="CKV101" s="22"/>
      <c r="CKW101" s="22"/>
      <c r="CKX101" s="22"/>
      <c r="CKY101" s="22"/>
      <c r="CKZ101" s="22"/>
      <c r="CLA101" s="22"/>
      <c r="CLB101" s="22"/>
      <c r="CLC101" s="22"/>
      <c r="CLD101" s="22"/>
      <c r="CLE101" s="22"/>
      <c r="CLF101" s="22"/>
      <c r="CLG101" s="22"/>
      <c r="CLH101" s="22"/>
      <c r="CLI101" s="22"/>
      <c r="CLJ101" s="22"/>
      <c r="CLK101" s="22"/>
      <c r="CLL101" s="22"/>
      <c r="CLM101" s="22"/>
      <c r="CLN101" s="22"/>
      <c r="CLO101" s="22"/>
      <c r="CLP101" s="22"/>
      <c r="CLQ101" s="22"/>
      <c r="CLR101" s="22"/>
      <c r="CLS101" s="22"/>
      <c r="CLT101" s="22"/>
      <c r="CLU101" s="22"/>
      <c r="CLV101" s="22"/>
      <c r="CLW101" s="22"/>
      <c r="CLX101" s="22"/>
      <c r="CLY101" s="22"/>
      <c r="CLZ101" s="22"/>
      <c r="CMA101" s="22"/>
      <c r="CMB101" s="22"/>
      <c r="CMC101" s="22"/>
      <c r="CMD101" s="22"/>
      <c r="CME101" s="22"/>
      <c r="CMF101" s="22"/>
      <c r="CMG101" s="22"/>
      <c r="CMH101" s="22"/>
      <c r="CMI101" s="22"/>
      <c r="CMJ101" s="22"/>
      <c r="CMK101" s="22"/>
      <c r="CML101" s="22"/>
      <c r="CMM101" s="22"/>
      <c r="CMN101" s="22"/>
      <c r="CMO101" s="22"/>
      <c r="CMP101" s="22"/>
      <c r="CMQ101" s="22"/>
      <c r="CMR101" s="22"/>
      <c r="CMS101" s="22"/>
      <c r="CMT101" s="22"/>
      <c r="CMU101" s="22"/>
      <c r="CMV101" s="22"/>
      <c r="CMW101" s="22"/>
      <c r="CMX101" s="22"/>
      <c r="CMY101" s="22"/>
      <c r="CMZ101" s="22"/>
      <c r="CNA101" s="22"/>
      <c r="CNB101" s="22"/>
      <c r="CNC101" s="22"/>
      <c r="CND101" s="22"/>
      <c r="CNE101" s="22"/>
      <c r="CNF101" s="22"/>
      <c r="CNG101" s="22"/>
      <c r="CNH101" s="22"/>
      <c r="CNI101" s="22"/>
      <c r="CNJ101" s="22"/>
      <c r="CNK101" s="22"/>
      <c r="CNL101" s="22"/>
      <c r="CNM101" s="22"/>
      <c r="CNN101" s="22"/>
      <c r="CNO101" s="22"/>
      <c r="CNP101" s="22"/>
      <c r="CNQ101" s="22"/>
      <c r="CNR101" s="22"/>
      <c r="CNS101" s="22"/>
      <c r="CNT101" s="22"/>
      <c r="CNU101" s="22"/>
      <c r="CNV101" s="22"/>
      <c r="CNW101" s="22"/>
      <c r="CNX101" s="22"/>
      <c r="CNY101" s="22"/>
      <c r="CNZ101" s="22"/>
      <c r="COA101" s="22"/>
      <c r="COB101" s="22"/>
      <c r="COC101" s="22"/>
      <c r="COD101" s="22"/>
      <c r="COE101" s="22"/>
      <c r="COF101" s="22"/>
      <c r="COG101" s="22"/>
      <c r="COH101" s="22"/>
      <c r="COI101" s="22"/>
      <c r="COJ101" s="22"/>
      <c r="COK101" s="22"/>
      <c r="COL101" s="22"/>
      <c r="COM101" s="22"/>
      <c r="CON101" s="22"/>
      <c r="COO101" s="22"/>
      <c r="COP101" s="22"/>
      <c r="COQ101" s="22"/>
      <c r="COR101" s="22"/>
      <c r="COS101" s="22"/>
      <c r="COT101" s="22"/>
      <c r="COU101" s="22"/>
      <c r="COV101" s="22"/>
      <c r="COW101" s="22"/>
      <c r="COX101" s="22"/>
      <c r="COY101" s="22"/>
      <c r="COZ101" s="22"/>
      <c r="CPA101" s="22"/>
      <c r="CPB101" s="22"/>
      <c r="CPC101" s="22"/>
      <c r="CPD101" s="22"/>
      <c r="CPE101" s="22"/>
      <c r="CPF101" s="22"/>
      <c r="CPG101" s="22"/>
      <c r="CPH101" s="22"/>
      <c r="CPI101" s="22"/>
      <c r="CPJ101" s="22"/>
      <c r="CPK101" s="22"/>
      <c r="CPL101" s="22"/>
      <c r="CPM101" s="22"/>
      <c r="CPN101" s="22"/>
      <c r="CPO101" s="22"/>
      <c r="CPP101" s="22"/>
      <c r="CPQ101" s="22"/>
      <c r="CPR101" s="22"/>
      <c r="CPS101" s="22"/>
      <c r="CPT101" s="22"/>
      <c r="CPU101" s="22"/>
      <c r="CPV101" s="22"/>
      <c r="CPW101" s="22"/>
      <c r="CPX101" s="22"/>
      <c r="CPY101" s="22"/>
      <c r="CPZ101" s="22"/>
      <c r="CQA101" s="22"/>
      <c r="CQB101" s="22"/>
      <c r="CQC101" s="22"/>
      <c r="CQD101" s="22"/>
      <c r="CQE101" s="22"/>
      <c r="CQF101" s="22"/>
      <c r="CQG101" s="22"/>
      <c r="CQH101" s="22"/>
      <c r="CQI101" s="22"/>
      <c r="CQJ101" s="22"/>
      <c r="CQK101" s="22"/>
      <c r="CQL101" s="22"/>
      <c r="CQM101" s="22"/>
      <c r="CQN101" s="22"/>
      <c r="CQO101" s="22"/>
      <c r="CQP101" s="22"/>
      <c r="CQQ101" s="22"/>
      <c r="CQR101" s="22"/>
      <c r="CQS101" s="22"/>
      <c r="CQT101" s="22"/>
      <c r="CQU101" s="22"/>
      <c r="CQV101" s="22"/>
      <c r="CQW101" s="22"/>
      <c r="CQX101" s="22"/>
      <c r="CQY101" s="22"/>
      <c r="CQZ101" s="22"/>
      <c r="CRA101" s="22"/>
      <c r="CRB101" s="22"/>
      <c r="CRC101" s="22"/>
      <c r="CRD101" s="22"/>
      <c r="CRE101" s="22"/>
      <c r="CRF101" s="22"/>
      <c r="CRG101" s="22"/>
      <c r="CRH101" s="22"/>
      <c r="CRI101" s="22"/>
      <c r="CRJ101" s="22"/>
      <c r="CRK101" s="22"/>
      <c r="CRL101" s="22"/>
      <c r="CRM101" s="22"/>
      <c r="CRN101" s="22"/>
      <c r="CRO101" s="22"/>
      <c r="CRP101" s="22"/>
      <c r="CRQ101" s="22"/>
      <c r="CRR101" s="22"/>
      <c r="CRS101" s="22"/>
      <c r="CRT101" s="22"/>
      <c r="CRU101" s="22"/>
      <c r="CRV101" s="22"/>
      <c r="CRW101" s="22"/>
      <c r="CRX101" s="22"/>
      <c r="CRY101" s="22"/>
      <c r="CRZ101" s="22"/>
      <c r="CSA101" s="22"/>
      <c r="CSB101" s="22"/>
      <c r="CSC101" s="22"/>
      <c r="CSD101" s="22"/>
      <c r="CSE101" s="22"/>
      <c r="CSF101" s="22"/>
      <c r="CSG101" s="22"/>
      <c r="CSH101" s="22"/>
      <c r="CSI101" s="22"/>
      <c r="CSJ101" s="22"/>
      <c r="CSK101" s="22"/>
      <c r="CSL101" s="22"/>
      <c r="CSM101" s="22"/>
      <c r="CSN101" s="22"/>
      <c r="CSO101" s="22"/>
      <c r="CSP101" s="22"/>
      <c r="CSQ101" s="22"/>
      <c r="CSR101" s="22"/>
      <c r="CSS101" s="22"/>
      <c r="CST101" s="22"/>
      <c r="CSU101" s="22"/>
      <c r="CSV101" s="22"/>
      <c r="CSW101" s="22"/>
      <c r="CSX101" s="22"/>
      <c r="CSY101" s="22"/>
      <c r="CSZ101" s="22"/>
      <c r="CTA101" s="22"/>
      <c r="CTB101" s="22"/>
      <c r="CTC101" s="22"/>
      <c r="CTD101" s="22"/>
      <c r="CTE101" s="22"/>
      <c r="CTF101" s="22"/>
      <c r="CTG101" s="22"/>
      <c r="CTH101" s="22"/>
      <c r="CTI101" s="22"/>
      <c r="CTJ101" s="22"/>
      <c r="CTK101" s="22"/>
      <c r="CTL101" s="22"/>
      <c r="CTM101" s="22"/>
      <c r="CTN101" s="22"/>
      <c r="CTO101" s="22"/>
      <c r="CTP101" s="22"/>
      <c r="CTQ101" s="22"/>
      <c r="CTR101" s="22"/>
      <c r="CTS101" s="22"/>
      <c r="CTT101" s="22"/>
      <c r="CTU101" s="22"/>
      <c r="CTV101" s="22"/>
      <c r="CTW101" s="22"/>
      <c r="CTX101" s="22"/>
      <c r="CTY101" s="22"/>
      <c r="CTZ101" s="22"/>
      <c r="CUA101" s="22"/>
      <c r="CUB101" s="22"/>
      <c r="CUC101" s="22"/>
      <c r="CUD101" s="22"/>
      <c r="CUE101" s="22"/>
      <c r="CUF101" s="22"/>
      <c r="CUG101" s="22"/>
      <c r="CUH101" s="22"/>
      <c r="CUI101" s="22"/>
      <c r="CUJ101" s="22"/>
      <c r="CUK101" s="22"/>
      <c r="CUL101" s="22"/>
      <c r="CUM101" s="22"/>
      <c r="CUN101" s="22"/>
      <c r="CUO101" s="22"/>
      <c r="CUP101" s="22"/>
      <c r="CUQ101" s="22"/>
      <c r="CUR101" s="22"/>
      <c r="CUS101" s="22"/>
      <c r="CUT101" s="22"/>
      <c r="CUU101" s="22"/>
      <c r="CUV101" s="22"/>
      <c r="CUW101" s="22"/>
      <c r="CUX101" s="22"/>
      <c r="CUY101" s="22"/>
      <c r="CUZ101" s="22"/>
      <c r="CVA101" s="22"/>
      <c r="CVB101" s="22"/>
      <c r="CVC101" s="22"/>
      <c r="CVD101" s="22"/>
      <c r="CVE101" s="22"/>
      <c r="CVF101" s="22"/>
      <c r="CVG101" s="22"/>
      <c r="CVH101" s="22"/>
      <c r="CVI101" s="22"/>
      <c r="CVJ101" s="22"/>
      <c r="CVK101" s="22"/>
      <c r="CVL101" s="22"/>
      <c r="CVM101" s="22"/>
      <c r="CVN101" s="22"/>
      <c r="CVO101" s="22"/>
      <c r="CVP101" s="22"/>
      <c r="CVQ101" s="22"/>
      <c r="CVR101" s="22"/>
      <c r="CVS101" s="22"/>
      <c r="CVT101" s="22"/>
      <c r="CVU101" s="22"/>
      <c r="CVV101" s="22"/>
      <c r="CVW101" s="22"/>
      <c r="CVX101" s="22"/>
      <c r="CVY101" s="22"/>
      <c r="CVZ101" s="22"/>
      <c r="CWA101" s="22"/>
      <c r="CWB101" s="22"/>
      <c r="CWC101" s="22"/>
      <c r="CWD101" s="22"/>
      <c r="CWE101" s="22"/>
      <c r="CWF101" s="22"/>
      <c r="CWG101" s="22"/>
      <c r="CWH101" s="22"/>
      <c r="CWI101" s="22"/>
      <c r="CWJ101" s="22"/>
      <c r="CWK101" s="22"/>
      <c r="CWL101" s="22"/>
      <c r="CWM101" s="22"/>
      <c r="CWN101" s="22"/>
      <c r="CWO101" s="22"/>
      <c r="CWP101" s="22"/>
      <c r="CWQ101" s="22"/>
      <c r="CWR101" s="22"/>
      <c r="CWS101" s="22"/>
      <c r="CWT101" s="22"/>
      <c r="CWU101" s="22"/>
      <c r="CWV101" s="22"/>
      <c r="CWW101" s="22"/>
      <c r="CWX101" s="22"/>
      <c r="CWY101" s="22"/>
      <c r="CWZ101" s="22"/>
      <c r="CXA101" s="22"/>
      <c r="CXB101" s="22"/>
      <c r="CXC101" s="22"/>
      <c r="CXD101" s="22"/>
      <c r="CXE101" s="22"/>
      <c r="CXF101" s="22"/>
      <c r="CXG101" s="22"/>
      <c r="CXH101" s="22"/>
      <c r="CXI101" s="22"/>
      <c r="CXJ101" s="22"/>
      <c r="CXK101" s="22"/>
      <c r="CXL101" s="22"/>
      <c r="CXM101" s="22"/>
      <c r="CXN101" s="22"/>
      <c r="CXO101" s="22"/>
      <c r="CXP101" s="22"/>
      <c r="CXQ101" s="22"/>
      <c r="CXR101" s="22"/>
      <c r="CXS101" s="22"/>
      <c r="CXT101" s="22"/>
      <c r="CXU101" s="22"/>
      <c r="CXV101" s="22"/>
      <c r="CXW101" s="22"/>
      <c r="CXX101" s="22"/>
      <c r="CXY101" s="22"/>
      <c r="CXZ101" s="22"/>
      <c r="CYA101" s="22"/>
      <c r="CYB101" s="22"/>
      <c r="CYC101" s="22"/>
      <c r="CYD101" s="22"/>
      <c r="CYE101" s="22"/>
      <c r="CYF101" s="22"/>
      <c r="CYG101" s="22"/>
      <c r="CYH101" s="22"/>
      <c r="CYI101" s="22"/>
      <c r="CYJ101" s="22"/>
      <c r="CYK101" s="22"/>
      <c r="CYL101" s="22"/>
      <c r="CYM101" s="22"/>
      <c r="CYN101" s="22"/>
      <c r="CYO101" s="22"/>
      <c r="CYP101" s="22"/>
      <c r="CYQ101" s="22"/>
      <c r="CYR101" s="22"/>
      <c r="CYS101" s="22"/>
      <c r="CYT101" s="22"/>
      <c r="CYU101" s="22"/>
      <c r="CYV101" s="22"/>
      <c r="CYW101" s="22"/>
      <c r="CYX101" s="22"/>
      <c r="CYY101" s="22"/>
      <c r="CYZ101" s="22"/>
      <c r="CZA101" s="22"/>
      <c r="CZB101" s="22"/>
      <c r="CZC101" s="22"/>
      <c r="CZD101" s="22"/>
      <c r="CZE101" s="22"/>
      <c r="CZF101" s="22"/>
      <c r="CZG101" s="22"/>
      <c r="CZH101" s="22"/>
      <c r="CZI101" s="22"/>
      <c r="CZJ101" s="22"/>
      <c r="CZK101" s="22"/>
      <c r="CZL101" s="22"/>
      <c r="CZM101" s="22"/>
      <c r="CZN101" s="22"/>
      <c r="CZO101" s="22"/>
      <c r="CZP101" s="22"/>
      <c r="CZQ101" s="22"/>
      <c r="CZR101" s="22"/>
      <c r="CZS101" s="22"/>
      <c r="CZT101" s="22"/>
      <c r="CZU101" s="22"/>
      <c r="CZV101" s="22"/>
      <c r="CZW101" s="22"/>
      <c r="CZX101" s="22"/>
      <c r="CZY101" s="22"/>
      <c r="CZZ101" s="22"/>
      <c r="DAA101" s="22"/>
      <c r="DAB101" s="22"/>
      <c r="DAC101" s="22"/>
      <c r="DAD101" s="22"/>
      <c r="DAE101" s="22"/>
      <c r="DAF101" s="22"/>
      <c r="DAG101" s="22"/>
      <c r="DAH101" s="22"/>
      <c r="DAI101" s="22"/>
      <c r="DAJ101" s="22"/>
      <c r="DAK101" s="22"/>
      <c r="DAL101" s="22"/>
      <c r="DAM101" s="22"/>
      <c r="DAN101" s="22"/>
      <c r="DAO101" s="22"/>
      <c r="DAP101" s="22"/>
      <c r="DAQ101" s="22"/>
      <c r="DAR101" s="22"/>
      <c r="DAS101" s="22"/>
      <c r="DAT101" s="22"/>
      <c r="DAU101" s="22"/>
      <c r="DAV101" s="22"/>
      <c r="DAW101" s="22"/>
      <c r="DAX101" s="22"/>
      <c r="DAY101" s="22"/>
      <c r="DAZ101" s="22"/>
      <c r="DBA101" s="22"/>
      <c r="DBB101" s="22"/>
      <c r="DBC101" s="22"/>
      <c r="DBD101" s="22"/>
      <c r="DBE101" s="22"/>
      <c r="DBF101" s="22"/>
      <c r="DBG101" s="22"/>
      <c r="DBH101" s="22"/>
      <c r="DBI101" s="22"/>
      <c r="DBJ101" s="22"/>
      <c r="DBK101" s="22"/>
      <c r="DBL101" s="22"/>
      <c r="DBM101" s="22"/>
      <c r="DBN101" s="22"/>
      <c r="DBO101" s="22"/>
      <c r="DBP101" s="22"/>
      <c r="DBQ101" s="22"/>
      <c r="DBR101" s="22"/>
      <c r="DBS101" s="22"/>
      <c r="DBT101" s="22"/>
      <c r="DBU101" s="22"/>
      <c r="DBV101" s="22"/>
      <c r="DBW101" s="22"/>
      <c r="DBX101" s="22"/>
      <c r="DBY101" s="22"/>
      <c r="DBZ101" s="22"/>
      <c r="DCA101" s="22"/>
      <c r="DCB101" s="22"/>
      <c r="DCC101" s="22"/>
      <c r="DCD101" s="22"/>
      <c r="DCE101" s="22"/>
      <c r="DCF101" s="22"/>
      <c r="DCG101" s="22"/>
      <c r="DCH101" s="22"/>
      <c r="DCI101" s="22"/>
      <c r="DCJ101" s="22"/>
      <c r="DCK101" s="22"/>
      <c r="DCL101" s="22"/>
      <c r="DCM101" s="22"/>
      <c r="DCN101" s="22"/>
      <c r="DCO101" s="22"/>
      <c r="DCP101" s="22"/>
      <c r="DCQ101" s="22"/>
      <c r="DCR101" s="22"/>
      <c r="DCS101" s="22"/>
      <c r="DCT101" s="22"/>
      <c r="DCU101" s="22"/>
      <c r="DCV101" s="22"/>
      <c r="DCW101" s="22"/>
      <c r="DCX101" s="22"/>
      <c r="DCY101" s="22"/>
      <c r="DCZ101" s="22"/>
      <c r="DDA101" s="22"/>
      <c r="DDB101" s="22"/>
      <c r="DDC101" s="22"/>
      <c r="DDD101" s="22"/>
      <c r="DDE101" s="22"/>
      <c r="DDF101" s="22"/>
      <c r="DDG101" s="22"/>
      <c r="DDH101" s="22"/>
      <c r="DDI101" s="22"/>
      <c r="DDJ101" s="22"/>
      <c r="DDK101" s="22"/>
      <c r="DDL101" s="22"/>
      <c r="DDM101" s="22"/>
      <c r="DDN101" s="22"/>
      <c r="DDO101" s="22"/>
      <c r="DDP101" s="22"/>
      <c r="DDQ101" s="22"/>
      <c r="DDR101" s="22"/>
      <c r="DDS101" s="22"/>
      <c r="DDT101" s="22"/>
      <c r="DDU101" s="22"/>
      <c r="DDV101" s="22"/>
      <c r="DDW101" s="22"/>
      <c r="DDX101" s="22"/>
      <c r="DDY101" s="22"/>
      <c r="DDZ101" s="22"/>
      <c r="DEA101" s="22"/>
      <c r="DEB101" s="22"/>
      <c r="DEC101" s="22"/>
      <c r="DED101" s="22"/>
      <c r="DEE101" s="22"/>
      <c r="DEF101" s="22"/>
      <c r="DEG101" s="22"/>
      <c r="DEH101" s="22"/>
      <c r="DEI101" s="22"/>
      <c r="DEJ101" s="22"/>
      <c r="DEK101" s="22"/>
      <c r="DEL101" s="22"/>
      <c r="DEM101" s="22"/>
      <c r="DEN101" s="22"/>
      <c r="DEO101" s="22"/>
      <c r="DEP101" s="22"/>
      <c r="DEQ101" s="22"/>
      <c r="DER101" s="22"/>
      <c r="DES101" s="22"/>
      <c r="DET101" s="22"/>
      <c r="DEU101" s="22"/>
      <c r="DEV101" s="22"/>
      <c r="DEW101" s="22"/>
      <c r="DEX101" s="22"/>
      <c r="DEY101" s="22"/>
      <c r="DEZ101" s="22"/>
      <c r="DFA101" s="22"/>
      <c r="DFB101" s="22"/>
      <c r="DFC101" s="22"/>
      <c r="DFD101" s="22"/>
      <c r="DFE101" s="22"/>
      <c r="DFF101" s="22"/>
      <c r="DFG101" s="22"/>
      <c r="DFH101" s="22"/>
      <c r="DFI101" s="22"/>
      <c r="DFJ101" s="22"/>
      <c r="DFK101" s="22"/>
      <c r="DFL101" s="22"/>
      <c r="DFM101" s="22"/>
      <c r="DFN101" s="22"/>
      <c r="DFO101" s="22"/>
      <c r="DFP101" s="22"/>
      <c r="DFQ101" s="22"/>
      <c r="DFR101" s="22"/>
      <c r="DFS101" s="22"/>
      <c r="DFT101" s="22"/>
      <c r="DFU101" s="22"/>
      <c r="DFV101" s="22"/>
      <c r="DFW101" s="22"/>
      <c r="DFX101" s="22"/>
      <c r="DFY101" s="22"/>
      <c r="DFZ101" s="22"/>
      <c r="DGA101" s="22"/>
      <c r="DGB101" s="22"/>
      <c r="DGC101" s="22"/>
      <c r="DGD101" s="22"/>
      <c r="DGE101" s="22"/>
      <c r="DGF101" s="22"/>
      <c r="DGG101" s="22"/>
      <c r="DGH101" s="22"/>
      <c r="DGI101" s="22"/>
      <c r="DGJ101" s="22"/>
      <c r="DGK101" s="22"/>
      <c r="DGL101" s="22"/>
      <c r="DGM101" s="22"/>
      <c r="DGN101" s="22"/>
      <c r="DGO101" s="22"/>
      <c r="DGP101" s="22"/>
      <c r="DGQ101" s="22"/>
      <c r="DGR101" s="22"/>
      <c r="DGS101" s="22"/>
      <c r="DGT101" s="22"/>
      <c r="DGU101" s="22"/>
      <c r="DGV101" s="22"/>
      <c r="DGW101" s="22"/>
      <c r="DGX101" s="22"/>
      <c r="DGY101" s="22"/>
      <c r="DGZ101" s="22"/>
      <c r="DHA101" s="22"/>
      <c r="DHB101" s="22"/>
      <c r="DHC101" s="22"/>
      <c r="DHD101" s="22"/>
      <c r="DHE101" s="22"/>
      <c r="DHF101" s="22"/>
      <c r="DHG101" s="22"/>
      <c r="DHH101" s="22"/>
      <c r="DHI101" s="22"/>
      <c r="DHJ101" s="22"/>
      <c r="DHK101" s="22"/>
      <c r="DHL101" s="22"/>
      <c r="DHM101" s="22"/>
      <c r="DHN101" s="22"/>
      <c r="DHO101" s="22"/>
      <c r="DHP101" s="22"/>
      <c r="DHQ101" s="22"/>
      <c r="DHR101" s="22"/>
      <c r="DHS101" s="22"/>
      <c r="DHT101" s="22"/>
      <c r="DHU101" s="22"/>
      <c r="DHV101" s="22"/>
      <c r="DHW101" s="22"/>
      <c r="DHX101" s="22"/>
      <c r="DHY101" s="22"/>
      <c r="DHZ101" s="22"/>
      <c r="DIA101" s="22"/>
      <c r="DIB101" s="22"/>
      <c r="DIC101" s="22"/>
      <c r="DID101" s="22"/>
      <c r="DIE101" s="22"/>
      <c r="DIF101" s="22"/>
      <c r="DIG101" s="22"/>
      <c r="DIH101" s="22"/>
      <c r="DII101" s="22"/>
      <c r="DIJ101" s="22"/>
      <c r="DIK101" s="22"/>
      <c r="DIL101" s="22"/>
      <c r="DIM101" s="22"/>
      <c r="DIN101" s="22"/>
      <c r="DIO101" s="22"/>
      <c r="DIP101" s="22"/>
      <c r="DIQ101" s="22"/>
      <c r="DIR101" s="22"/>
      <c r="DIS101" s="22"/>
      <c r="DIT101" s="22"/>
      <c r="DIU101" s="22"/>
      <c r="DIV101" s="22"/>
      <c r="DIW101" s="22"/>
      <c r="DIX101" s="22"/>
      <c r="DIY101" s="22"/>
      <c r="DIZ101" s="22"/>
      <c r="DJA101" s="22"/>
      <c r="DJB101" s="22"/>
      <c r="DJC101" s="22"/>
      <c r="DJD101" s="22"/>
      <c r="DJE101" s="22"/>
      <c r="DJF101" s="22"/>
      <c r="DJG101" s="22"/>
      <c r="DJH101" s="22"/>
      <c r="DJI101" s="22"/>
      <c r="DJJ101" s="22"/>
      <c r="DJK101" s="22"/>
      <c r="DJL101" s="22"/>
      <c r="DJM101" s="22"/>
      <c r="DJN101" s="22"/>
      <c r="DJO101" s="22"/>
      <c r="DJP101" s="22"/>
      <c r="DJQ101" s="22"/>
      <c r="DJR101" s="22"/>
      <c r="DJS101" s="22"/>
      <c r="DJT101" s="22"/>
      <c r="DJU101" s="22"/>
      <c r="DJV101" s="22"/>
      <c r="DJW101" s="22"/>
      <c r="DJX101" s="22"/>
      <c r="DJY101" s="22"/>
      <c r="DJZ101" s="22"/>
      <c r="DKA101" s="22"/>
      <c r="DKB101" s="22"/>
      <c r="DKC101" s="22"/>
      <c r="DKD101" s="22"/>
      <c r="DKE101" s="22"/>
      <c r="DKF101" s="22"/>
      <c r="DKG101" s="22"/>
      <c r="DKH101" s="22"/>
      <c r="DKI101" s="22"/>
      <c r="DKJ101" s="22"/>
      <c r="DKK101" s="22"/>
      <c r="DKL101" s="22"/>
      <c r="DKM101" s="22"/>
      <c r="DKN101" s="22"/>
      <c r="DKO101" s="22"/>
      <c r="DKP101" s="22"/>
      <c r="DKQ101" s="22"/>
      <c r="DKR101" s="22"/>
      <c r="DKS101" s="22"/>
      <c r="DKT101" s="22"/>
      <c r="DKU101" s="22"/>
      <c r="DKV101" s="22"/>
      <c r="DKW101" s="22"/>
      <c r="DKX101" s="22"/>
      <c r="DKY101" s="22"/>
      <c r="DKZ101" s="22"/>
      <c r="DLA101" s="22"/>
      <c r="DLB101" s="22"/>
      <c r="DLC101" s="22"/>
      <c r="DLD101" s="22"/>
      <c r="DLE101" s="22"/>
      <c r="DLF101" s="22"/>
      <c r="DLG101" s="22"/>
      <c r="DLH101" s="22"/>
      <c r="DLI101" s="22"/>
      <c r="DLJ101" s="22"/>
      <c r="DLK101" s="22"/>
      <c r="DLL101" s="22"/>
      <c r="DLM101" s="22"/>
      <c r="DLN101" s="22"/>
      <c r="DLO101" s="22"/>
      <c r="DLP101" s="22"/>
      <c r="DLQ101" s="22"/>
      <c r="DLR101" s="22"/>
      <c r="DLS101" s="22"/>
      <c r="DLT101" s="22"/>
      <c r="DLU101" s="22"/>
      <c r="DLV101" s="22"/>
      <c r="DLW101" s="22"/>
      <c r="DLX101" s="22"/>
      <c r="DLY101" s="22"/>
      <c r="DLZ101" s="22"/>
      <c r="DMA101" s="22"/>
      <c r="DMB101" s="22"/>
      <c r="DMC101" s="22"/>
      <c r="DMD101" s="22"/>
      <c r="DME101" s="22"/>
      <c r="DMF101" s="22"/>
      <c r="DMG101" s="22"/>
      <c r="DMH101" s="22"/>
      <c r="DMI101" s="22"/>
      <c r="DMJ101" s="22"/>
      <c r="DMK101" s="22"/>
      <c r="DML101" s="22"/>
      <c r="DMM101" s="22"/>
      <c r="DMN101" s="22"/>
      <c r="DMO101" s="22"/>
      <c r="DMP101" s="22"/>
      <c r="DMQ101" s="22"/>
      <c r="DMR101" s="22"/>
      <c r="DMS101" s="22"/>
      <c r="DMT101" s="22"/>
      <c r="DMU101" s="22"/>
      <c r="DMV101" s="22"/>
      <c r="DMW101" s="22"/>
      <c r="DMX101" s="22"/>
      <c r="DMY101" s="22"/>
      <c r="DMZ101" s="22"/>
      <c r="DNA101" s="22"/>
      <c r="DNB101" s="22"/>
      <c r="DNC101" s="22"/>
      <c r="DND101" s="22"/>
      <c r="DNE101" s="22"/>
      <c r="DNF101" s="22"/>
      <c r="DNG101" s="22"/>
      <c r="DNH101" s="22"/>
      <c r="DNI101" s="22"/>
      <c r="DNJ101" s="22"/>
      <c r="DNK101" s="22"/>
      <c r="DNL101" s="22"/>
      <c r="DNM101" s="22"/>
      <c r="DNN101" s="22"/>
      <c r="DNO101" s="22"/>
      <c r="DNP101" s="22"/>
      <c r="DNQ101" s="22"/>
      <c r="DNR101" s="22"/>
      <c r="DNS101" s="22"/>
      <c r="DNT101" s="22"/>
      <c r="DNU101" s="22"/>
      <c r="DNV101" s="22"/>
      <c r="DNW101" s="22"/>
      <c r="DNX101" s="22"/>
      <c r="DNY101" s="22"/>
      <c r="DNZ101" s="22"/>
      <c r="DOA101" s="22"/>
      <c r="DOB101" s="22"/>
      <c r="DOC101" s="22"/>
      <c r="DOD101" s="22"/>
      <c r="DOE101" s="22"/>
      <c r="DOF101" s="22"/>
      <c r="DOG101" s="22"/>
      <c r="DOH101" s="22"/>
      <c r="DOI101" s="22"/>
      <c r="DOJ101" s="22"/>
      <c r="DOK101" s="22"/>
      <c r="DOL101" s="22"/>
      <c r="DOM101" s="22"/>
      <c r="DON101" s="22"/>
      <c r="DOO101" s="22"/>
      <c r="DOP101" s="22"/>
      <c r="DOQ101" s="22"/>
      <c r="DOR101" s="22"/>
      <c r="DOS101" s="22"/>
      <c r="DOT101" s="22"/>
      <c r="DOU101" s="22"/>
      <c r="DOV101" s="22"/>
      <c r="DOW101" s="22"/>
      <c r="DOX101" s="22"/>
      <c r="DOY101" s="22"/>
      <c r="DOZ101" s="22"/>
      <c r="DPA101" s="22"/>
      <c r="DPB101" s="22"/>
      <c r="DPC101" s="22"/>
      <c r="DPD101" s="22"/>
      <c r="DPE101" s="22"/>
      <c r="DPF101" s="22"/>
      <c r="DPG101" s="22"/>
      <c r="DPH101" s="22"/>
      <c r="DPI101" s="22"/>
      <c r="DPJ101" s="22"/>
      <c r="DPK101" s="22"/>
      <c r="DPL101" s="22"/>
      <c r="DPM101" s="22"/>
      <c r="DPN101" s="22"/>
      <c r="DPO101" s="22"/>
      <c r="DPP101" s="22"/>
      <c r="DPQ101" s="22"/>
      <c r="DPR101" s="22"/>
      <c r="DPS101" s="22"/>
      <c r="DPT101" s="22"/>
      <c r="DPU101" s="22"/>
      <c r="DPV101" s="22"/>
      <c r="DPW101" s="22"/>
      <c r="DPX101" s="22"/>
      <c r="DPY101" s="22"/>
      <c r="DPZ101" s="22"/>
      <c r="DQA101" s="22"/>
      <c r="DQB101" s="22"/>
      <c r="DQC101" s="22"/>
      <c r="DQD101" s="22"/>
      <c r="DQE101" s="22"/>
      <c r="DQF101" s="22"/>
      <c r="DQG101" s="22"/>
      <c r="DQH101" s="22"/>
      <c r="DQI101" s="22"/>
      <c r="DQJ101" s="22"/>
      <c r="DQK101" s="22"/>
      <c r="DQL101" s="22"/>
      <c r="DQM101" s="22"/>
      <c r="DQN101" s="22"/>
      <c r="DQO101" s="22"/>
      <c r="DQP101" s="22"/>
      <c r="DQQ101" s="22"/>
      <c r="DQR101" s="22"/>
      <c r="DQS101" s="22"/>
      <c r="DQT101" s="22"/>
      <c r="DQU101" s="22"/>
      <c r="DQV101" s="22"/>
      <c r="DQW101" s="22"/>
      <c r="DQX101" s="22"/>
      <c r="DQY101" s="22"/>
      <c r="DQZ101" s="22"/>
      <c r="DRA101" s="22"/>
      <c r="DRB101" s="22"/>
      <c r="DRC101" s="22"/>
      <c r="DRD101" s="22"/>
      <c r="DRE101" s="22"/>
      <c r="DRF101" s="22"/>
      <c r="DRG101" s="22"/>
      <c r="DRH101" s="22"/>
      <c r="DRI101" s="22"/>
      <c r="DRJ101" s="22"/>
      <c r="DRK101" s="22"/>
      <c r="DRL101" s="22"/>
      <c r="DRM101" s="22"/>
      <c r="DRN101" s="22"/>
      <c r="DRO101" s="22"/>
      <c r="DRP101" s="22"/>
      <c r="DRQ101" s="22"/>
      <c r="DRR101" s="22"/>
      <c r="DRS101" s="22"/>
      <c r="DRT101" s="22"/>
      <c r="DRU101" s="22"/>
      <c r="DRV101" s="22"/>
      <c r="DRW101" s="22"/>
      <c r="DRX101" s="22"/>
      <c r="DRY101" s="22"/>
      <c r="DRZ101" s="22"/>
      <c r="DSA101" s="22"/>
      <c r="DSB101" s="22"/>
      <c r="DSC101" s="22"/>
      <c r="DSD101" s="22"/>
      <c r="DSE101" s="22"/>
      <c r="DSF101" s="22"/>
      <c r="DSG101" s="22"/>
      <c r="DSH101" s="22"/>
      <c r="DSI101" s="22"/>
      <c r="DSJ101" s="22"/>
      <c r="DSK101" s="22"/>
      <c r="DSL101" s="22"/>
      <c r="DSM101" s="22"/>
      <c r="DSN101" s="22"/>
      <c r="DSO101" s="22"/>
      <c r="DSP101" s="22"/>
      <c r="DSQ101" s="22"/>
      <c r="DSR101" s="22"/>
      <c r="DSS101" s="22"/>
      <c r="DST101" s="22"/>
      <c r="DSU101" s="22"/>
      <c r="DSV101" s="22"/>
      <c r="DSW101" s="22"/>
      <c r="DSX101" s="22"/>
      <c r="DSY101" s="22"/>
      <c r="DSZ101" s="22"/>
      <c r="DTA101" s="22"/>
      <c r="DTB101" s="22"/>
      <c r="DTC101" s="22"/>
      <c r="DTD101" s="22"/>
      <c r="DTE101" s="22"/>
      <c r="DTF101" s="22"/>
      <c r="DTG101" s="22"/>
      <c r="DTH101" s="22"/>
      <c r="DTI101" s="22"/>
      <c r="DTJ101" s="22"/>
      <c r="DTK101" s="22"/>
      <c r="DTL101" s="22"/>
      <c r="DTM101" s="22"/>
      <c r="DTN101" s="22"/>
      <c r="DTO101" s="22"/>
      <c r="DTP101" s="22"/>
      <c r="DTQ101" s="22"/>
      <c r="DTR101" s="22"/>
      <c r="DTS101" s="22"/>
      <c r="DTT101" s="22"/>
      <c r="DTU101" s="22"/>
      <c r="DTV101" s="22"/>
      <c r="DTW101" s="22"/>
      <c r="DTX101" s="22"/>
      <c r="DTY101" s="22"/>
      <c r="DTZ101" s="22"/>
      <c r="DUA101" s="22"/>
      <c r="DUB101" s="22"/>
      <c r="DUC101" s="22"/>
      <c r="DUD101" s="22"/>
      <c r="DUE101" s="22"/>
      <c r="DUF101" s="22"/>
      <c r="DUG101" s="22"/>
      <c r="DUH101" s="22"/>
      <c r="DUI101" s="22"/>
      <c r="DUJ101" s="22"/>
      <c r="DUK101" s="22"/>
      <c r="DUL101" s="22"/>
      <c r="DUM101" s="22"/>
      <c r="DUN101" s="22"/>
      <c r="DUO101" s="22"/>
      <c r="DUP101" s="22"/>
      <c r="DUQ101" s="22"/>
      <c r="DUR101" s="22"/>
      <c r="DUS101" s="22"/>
      <c r="DUT101" s="22"/>
      <c r="DUU101" s="22"/>
      <c r="DUV101" s="22"/>
      <c r="DUW101" s="22"/>
      <c r="DUX101" s="22"/>
      <c r="DUY101" s="22"/>
      <c r="DUZ101" s="22"/>
      <c r="DVA101" s="22"/>
      <c r="DVB101" s="22"/>
      <c r="DVC101" s="22"/>
      <c r="DVD101" s="22"/>
      <c r="DVE101" s="22"/>
      <c r="DVF101" s="22"/>
      <c r="DVG101" s="22"/>
      <c r="DVH101" s="22"/>
      <c r="DVI101" s="22"/>
      <c r="DVJ101" s="22"/>
      <c r="DVK101" s="22"/>
      <c r="DVL101" s="22"/>
      <c r="DVM101" s="22"/>
      <c r="DVN101" s="22"/>
      <c r="DVO101" s="22"/>
      <c r="DVP101" s="22"/>
      <c r="DVQ101" s="22"/>
      <c r="DVR101" s="22"/>
      <c r="DVS101" s="22"/>
      <c r="DVT101" s="22"/>
      <c r="DVU101" s="22"/>
      <c r="DVV101" s="22"/>
      <c r="DVW101" s="22"/>
      <c r="DVX101" s="22"/>
      <c r="DVY101" s="22"/>
      <c r="DVZ101" s="22"/>
      <c r="DWA101" s="22"/>
      <c r="DWB101" s="22"/>
      <c r="DWC101" s="22"/>
      <c r="DWD101" s="22"/>
      <c r="DWE101" s="22"/>
      <c r="DWF101" s="22"/>
      <c r="DWG101" s="22"/>
      <c r="DWH101" s="22"/>
      <c r="DWI101" s="22"/>
      <c r="DWJ101" s="22"/>
      <c r="DWK101" s="22"/>
      <c r="DWL101" s="22"/>
      <c r="DWM101" s="22"/>
      <c r="DWN101" s="22"/>
      <c r="DWO101" s="22"/>
      <c r="DWP101" s="22"/>
      <c r="DWQ101" s="22"/>
      <c r="DWR101" s="22"/>
      <c r="DWS101" s="22"/>
      <c r="DWT101" s="22"/>
      <c r="DWU101" s="22"/>
      <c r="DWV101" s="22"/>
      <c r="DWW101" s="22"/>
      <c r="DWX101" s="22"/>
      <c r="DWY101" s="22"/>
      <c r="DWZ101" s="22"/>
      <c r="DXA101" s="22"/>
      <c r="DXB101" s="22"/>
      <c r="DXC101" s="22"/>
      <c r="DXD101" s="22"/>
      <c r="DXE101" s="22"/>
      <c r="DXF101" s="22"/>
      <c r="DXG101" s="22"/>
      <c r="DXH101" s="22"/>
      <c r="DXI101" s="22"/>
      <c r="DXJ101" s="22"/>
      <c r="DXK101" s="22"/>
      <c r="DXL101" s="22"/>
      <c r="DXM101" s="22"/>
      <c r="DXN101" s="22"/>
      <c r="DXO101" s="22"/>
      <c r="DXP101" s="22"/>
      <c r="DXQ101" s="22"/>
      <c r="DXR101" s="22"/>
      <c r="DXS101" s="22"/>
      <c r="DXT101" s="22"/>
      <c r="DXU101" s="22"/>
      <c r="DXV101" s="22"/>
      <c r="DXW101" s="22"/>
      <c r="DXX101" s="22"/>
      <c r="DXY101" s="22"/>
      <c r="DXZ101" s="22"/>
      <c r="DYA101" s="22"/>
      <c r="DYB101" s="22"/>
      <c r="DYC101" s="22"/>
      <c r="DYD101" s="22"/>
      <c r="DYE101" s="22"/>
      <c r="DYF101" s="22"/>
      <c r="DYG101" s="22"/>
      <c r="DYH101" s="22"/>
      <c r="DYI101" s="22"/>
      <c r="DYJ101" s="22"/>
      <c r="DYK101" s="22"/>
      <c r="DYL101" s="22"/>
      <c r="DYM101" s="22"/>
      <c r="DYN101" s="22"/>
      <c r="DYO101" s="22"/>
      <c r="DYP101" s="22"/>
      <c r="DYQ101" s="22"/>
      <c r="DYR101" s="22"/>
      <c r="DYS101" s="22"/>
      <c r="DYT101" s="22"/>
      <c r="DYU101" s="22"/>
      <c r="DYV101" s="22"/>
      <c r="DYW101" s="22"/>
      <c r="DYX101" s="22"/>
      <c r="DYY101" s="22"/>
      <c r="DYZ101" s="22"/>
      <c r="DZA101" s="22"/>
      <c r="DZB101" s="22"/>
      <c r="DZC101" s="22"/>
      <c r="DZD101" s="22"/>
      <c r="DZE101" s="22"/>
      <c r="DZF101" s="22"/>
      <c r="DZG101" s="22"/>
      <c r="DZH101" s="22"/>
      <c r="DZI101" s="22"/>
      <c r="DZJ101" s="22"/>
      <c r="DZK101" s="22"/>
      <c r="DZL101" s="22"/>
      <c r="DZM101" s="22"/>
      <c r="DZN101" s="22"/>
      <c r="DZO101" s="22"/>
      <c r="DZP101" s="22"/>
      <c r="DZQ101" s="22"/>
      <c r="DZR101" s="22"/>
      <c r="DZS101" s="22"/>
      <c r="DZT101" s="22"/>
      <c r="DZU101" s="22"/>
      <c r="DZV101" s="22"/>
      <c r="DZW101" s="22"/>
      <c r="DZX101" s="22"/>
      <c r="DZY101" s="22"/>
      <c r="DZZ101" s="22"/>
      <c r="EAA101" s="22"/>
      <c r="EAB101" s="22"/>
      <c r="EAC101" s="22"/>
      <c r="EAD101" s="22"/>
      <c r="EAE101" s="22"/>
      <c r="EAF101" s="22"/>
      <c r="EAG101" s="22"/>
      <c r="EAH101" s="22"/>
      <c r="EAI101" s="22"/>
      <c r="EAJ101" s="22"/>
      <c r="EAK101" s="22"/>
      <c r="EAL101" s="22"/>
      <c r="EAM101" s="22"/>
      <c r="EAN101" s="22"/>
      <c r="EAO101" s="22"/>
      <c r="EAP101" s="22"/>
      <c r="EAQ101" s="22"/>
      <c r="EAR101" s="22"/>
      <c r="EAS101" s="22"/>
      <c r="EAT101" s="22"/>
      <c r="EAU101" s="22"/>
      <c r="EAV101" s="22"/>
      <c r="EAW101" s="22"/>
      <c r="EAX101" s="22"/>
      <c r="EAY101" s="22"/>
      <c r="EAZ101" s="22"/>
      <c r="EBA101" s="22"/>
      <c r="EBB101" s="22"/>
      <c r="EBC101" s="22"/>
      <c r="EBD101" s="22"/>
      <c r="EBE101" s="22"/>
      <c r="EBF101" s="22"/>
      <c r="EBG101" s="22"/>
      <c r="EBH101" s="22"/>
      <c r="EBI101" s="22"/>
      <c r="EBJ101" s="22"/>
      <c r="EBK101" s="22"/>
      <c r="EBL101" s="22"/>
      <c r="EBM101" s="22"/>
      <c r="EBN101" s="22"/>
      <c r="EBO101" s="22"/>
      <c r="EBP101" s="22"/>
      <c r="EBQ101" s="22"/>
      <c r="EBR101" s="22"/>
      <c r="EBS101" s="22"/>
      <c r="EBT101" s="22"/>
      <c r="EBU101" s="22"/>
      <c r="EBV101" s="22"/>
      <c r="EBW101" s="22"/>
      <c r="EBX101" s="22"/>
      <c r="EBY101" s="22"/>
      <c r="EBZ101" s="22"/>
      <c r="ECA101" s="22"/>
      <c r="ECB101" s="22"/>
      <c r="ECC101" s="22"/>
      <c r="ECD101" s="22"/>
      <c r="ECE101" s="22"/>
      <c r="ECF101" s="22"/>
      <c r="ECG101" s="22"/>
      <c r="ECH101" s="22"/>
      <c r="ECI101" s="22"/>
      <c r="ECJ101" s="22"/>
      <c r="ECK101" s="22"/>
      <c r="ECL101" s="22"/>
      <c r="ECM101" s="22"/>
      <c r="ECN101" s="22"/>
      <c r="ECO101" s="22"/>
      <c r="ECP101" s="22"/>
      <c r="ECQ101" s="22"/>
      <c r="ECR101" s="22"/>
      <c r="ECS101" s="22"/>
      <c r="ECT101" s="22"/>
      <c r="ECU101" s="22"/>
      <c r="ECV101" s="22"/>
      <c r="ECW101" s="22"/>
      <c r="ECX101" s="22"/>
      <c r="ECY101" s="22"/>
      <c r="ECZ101" s="22"/>
      <c r="EDA101" s="22"/>
      <c r="EDB101" s="22"/>
      <c r="EDC101" s="22"/>
      <c r="EDD101" s="22"/>
      <c r="EDE101" s="22"/>
      <c r="EDF101" s="22"/>
      <c r="EDG101" s="22"/>
      <c r="EDH101" s="22"/>
      <c r="EDI101" s="22"/>
      <c r="EDJ101" s="22"/>
      <c r="EDK101" s="22"/>
      <c r="EDL101" s="22"/>
      <c r="EDM101" s="22"/>
      <c r="EDN101" s="22"/>
      <c r="EDO101" s="22"/>
      <c r="EDP101" s="22"/>
      <c r="EDQ101" s="22"/>
      <c r="EDR101" s="22"/>
      <c r="EDS101" s="22"/>
      <c r="EDT101" s="22"/>
      <c r="EDU101" s="22"/>
      <c r="EDV101" s="22"/>
      <c r="EDW101" s="22"/>
      <c r="EDX101" s="22"/>
      <c r="EDY101" s="22"/>
      <c r="EDZ101" s="22"/>
      <c r="EEA101" s="22"/>
      <c r="EEB101" s="22"/>
      <c r="EEC101" s="22"/>
      <c r="EED101" s="22"/>
      <c r="EEE101" s="22"/>
      <c r="EEF101" s="22"/>
      <c r="EEG101" s="22"/>
      <c r="EEH101" s="22"/>
      <c r="EEI101" s="22"/>
      <c r="EEJ101" s="22"/>
      <c r="EEK101" s="22"/>
      <c r="EEL101" s="22"/>
      <c r="EEM101" s="22"/>
      <c r="EEN101" s="22"/>
      <c r="EEO101" s="22"/>
      <c r="EEP101" s="22"/>
      <c r="EEQ101" s="22"/>
      <c r="EER101" s="22"/>
      <c r="EES101" s="22"/>
      <c r="EET101" s="22"/>
      <c r="EEU101" s="22"/>
      <c r="EEV101" s="22"/>
      <c r="EEW101" s="22"/>
      <c r="EEX101" s="22"/>
      <c r="EEY101" s="22"/>
      <c r="EEZ101" s="22"/>
      <c r="EFA101" s="22"/>
      <c r="EFB101" s="22"/>
      <c r="EFC101" s="22"/>
      <c r="EFD101" s="22"/>
      <c r="EFE101" s="22"/>
      <c r="EFF101" s="22"/>
      <c r="EFG101" s="22"/>
      <c r="EFH101" s="22"/>
      <c r="EFI101" s="22"/>
      <c r="EFJ101" s="22"/>
      <c r="EFK101" s="22"/>
      <c r="EFL101" s="22"/>
      <c r="EFM101" s="22"/>
      <c r="EFN101" s="22"/>
      <c r="EFO101" s="22"/>
      <c r="EFP101" s="22"/>
      <c r="EFQ101" s="22"/>
      <c r="EFR101" s="22"/>
      <c r="EFS101" s="22"/>
      <c r="EFT101" s="22"/>
      <c r="EFU101" s="22"/>
      <c r="EFV101" s="22"/>
      <c r="EFW101" s="22"/>
      <c r="EFX101" s="22"/>
      <c r="EFY101" s="22"/>
      <c r="EFZ101" s="22"/>
      <c r="EGA101" s="22"/>
      <c r="EGB101" s="22"/>
      <c r="EGC101" s="22"/>
      <c r="EGD101" s="22"/>
      <c r="EGE101" s="22"/>
      <c r="EGF101" s="22"/>
      <c r="EGG101" s="22"/>
      <c r="EGH101" s="22"/>
      <c r="EGI101" s="22"/>
      <c r="EGJ101" s="22"/>
      <c r="EGK101" s="22"/>
      <c r="EGL101" s="22"/>
      <c r="EGM101" s="22"/>
      <c r="EGN101" s="22"/>
      <c r="EGO101" s="22"/>
      <c r="EGP101" s="22"/>
      <c r="EGQ101" s="22"/>
      <c r="EGR101" s="22"/>
      <c r="EGS101" s="22"/>
      <c r="EGT101" s="22"/>
      <c r="EGU101" s="22"/>
      <c r="EGV101" s="22"/>
      <c r="EGW101" s="22"/>
      <c r="EGX101" s="22"/>
      <c r="EGY101" s="22"/>
      <c r="EGZ101" s="22"/>
      <c r="EHA101" s="22"/>
      <c r="EHB101" s="22"/>
      <c r="EHC101" s="22"/>
      <c r="EHD101" s="22"/>
      <c r="EHE101" s="22"/>
      <c r="EHF101" s="22"/>
      <c r="EHG101" s="22"/>
      <c r="EHH101" s="22"/>
      <c r="EHI101" s="22"/>
      <c r="EHJ101" s="22"/>
      <c r="EHK101" s="22"/>
      <c r="EHL101" s="22"/>
      <c r="EHM101" s="22"/>
      <c r="EHN101" s="22"/>
      <c r="EHO101" s="22"/>
      <c r="EHP101" s="22"/>
      <c r="EHQ101" s="22"/>
      <c r="EHR101" s="22"/>
      <c r="EHS101" s="22"/>
      <c r="EHT101" s="22"/>
      <c r="EHU101" s="22"/>
      <c r="EHV101" s="22"/>
      <c r="EHW101" s="22"/>
      <c r="EHX101" s="22"/>
      <c r="EHY101" s="22"/>
      <c r="EHZ101" s="22"/>
      <c r="EIA101" s="22"/>
      <c r="EIB101" s="22"/>
      <c r="EIC101" s="22"/>
      <c r="EID101" s="22"/>
      <c r="EIE101" s="22"/>
      <c r="EIF101" s="22"/>
      <c r="EIG101" s="22"/>
      <c r="EIH101" s="22"/>
      <c r="EII101" s="22"/>
      <c r="EIJ101" s="22"/>
      <c r="EIK101" s="22"/>
      <c r="EIL101" s="22"/>
      <c r="EIM101" s="22"/>
      <c r="EIN101" s="22"/>
      <c r="EIO101" s="22"/>
      <c r="EIP101" s="22"/>
      <c r="EIQ101" s="22"/>
      <c r="EIR101" s="22"/>
      <c r="EIS101" s="22"/>
      <c r="EIT101" s="22"/>
      <c r="EIU101" s="22"/>
      <c r="EIV101" s="22"/>
      <c r="EIW101" s="22"/>
      <c r="EIX101" s="22"/>
      <c r="EIY101" s="22"/>
      <c r="EIZ101" s="22"/>
      <c r="EJA101" s="22"/>
      <c r="EJB101" s="22"/>
      <c r="EJC101" s="22"/>
      <c r="EJD101" s="22"/>
      <c r="EJE101" s="22"/>
      <c r="EJF101" s="22"/>
      <c r="EJG101" s="22"/>
      <c r="EJH101" s="22"/>
      <c r="EJI101" s="22"/>
      <c r="EJJ101" s="22"/>
      <c r="EJK101" s="22"/>
      <c r="EJL101" s="22"/>
      <c r="EJM101" s="22"/>
      <c r="EJN101" s="22"/>
      <c r="EJO101" s="22"/>
      <c r="EJP101" s="22"/>
      <c r="EJQ101" s="22"/>
      <c r="EJR101" s="22"/>
      <c r="EJS101" s="22"/>
      <c r="EJT101" s="22"/>
      <c r="EJU101" s="22"/>
      <c r="EJV101" s="22"/>
      <c r="EJW101" s="22"/>
      <c r="EJX101" s="22"/>
      <c r="EJY101" s="22"/>
      <c r="EJZ101" s="22"/>
      <c r="EKA101" s="22"/>
      <c r="EKB101" s="22"/>
      <c r="EKC101" s="22"/>
      <c r="EKD101" s="22"/>
      <c r="EKE101" s="22"/>
      <c r="EKF101" s="22"/>
      <c r="EKG101" s="22"/>
      <c r="EKH101" s="22"/>
      <c r="EKI101" s="22"/>
      <c r="EKJ101" s="22"/>
      <c r="EKK101" s="22"/>
      <c r="EKL101" s="22"/>
      <c r="EKM101" s="22"/>
      <c r="EKN101" s="22"/>
      <c r="EKO101" s="22"/>
      <c r="EKP101" s="22"/>
      <c r="EKQ101" s="22"/>
      <c r="EKR101" s="22"/>
      <c r="EKS101" s="22"/>
      <c r="EKT101" s="22"/>
      <c r="EKU101" s="22"/>
      <c r="EKV101" s="22"/>
      <c r="EKW101" s="22"/>
      <c r="EKX101" s="22"/>
      <c r="EKY101" s="22"/>
      <c r="EKZ101" s="22"/>
      <c r="ELA101" s="22"/>
      <c r="ELB101" s="22"/>
      <c r="ELC101" s="22"/>
      <c r="ELD101" s="22"/>
      <c r="ELE101" s="22"/>
      <c r="ELF101" s="22"/>
      <c r="ELG101" s="22"/>
      <c r="ELH101" s="22"/>
      <c r="ELI101" s="22"/>
      <c r="ELJ101" s="22"/>
      <c r="ELK101" s="22"/>
      <c r="ELL101" s="22"/>
      <c r="ELM101" s="22"/>
      <c r="ELN101" s="22"/>
      <c r="ELO101" s="22"/>
      <c r="ELP101" s="22"/>
      <c r="ELQ101" s="22"/>
      <c r="ELR101" s="22"/>
      <c r="ELS101" s="22"/>
      <c r="ELT101" s="22"/>
      <c r="ELU101" s="22"/>
      <c r="ELV101" s="22"/>
      <c r="ELW101" s="22"/>
      <c r="ELX101" s="22"/>
      <c r="ELY101" s="22"/>
      <c r="ELZ101" s="22"/>
      <c r="EMA101" s="22"/>
      <c r="EMB101" s="22"/>
      <c r="EMC101" s="22"/>
      <c r="EMD101" s="22"/>
      <c r="EME101" s="22"/>
      <c r="EMF101" s="22"/>
      <c r="EMG101" s="22"/>
      <c r="EMH101" s="22"/>
      <c r="EMI101" s="22"/>
      <c r="EMJ101" s="22"/>
      <c r="EMK101" s="22"/>
      <c r="EML101" s="22"/>
      <c r="EMM101" s="22"/>
      <c r="EMN101" s="22"/>
      <c r="EMO101" s="22"/>
      <c r="EMP101" s="22"/>
      <c r="EMQ101" s="22"/>
      <c r="EMR101" s="22"/>
      <c r="EMS101" s="22"/>
      <c r="EMT101" s="22"/>
      <c r="EMU101" s="22"/>
      <c r="EMV101" s="22"/>
      <c r="EMW101" s="22"/>
      <c r="EMX101" s="22"/>
      <c r="EMY101" s="22"/>
      <c r="EMZ101" s="22"/>
      <c r="ENA101" s="22"/>
      <c r="ENB101" s="22"/>
      <c r="ENC101" s="22"/>
      <c r="END101" s="22"/>
      <c r="ENE101" s="22"/>
      <c r="ENF101" s="22"/>
      <c r="ENG101" s="22"/>
      <c r="ENH101" s="22"/>
      <c r="ENI101" s="22"/>
      <c r="ENJ101" s="22"/>
      <c r="ENK101" s="22"/>
      <c r="ENL101" s="22"/>
      <c r="ENM101" s="22"/>
      <c r="ENN101" s="22"/>
      <c r="ENO101" s="22"/>
      <c r="ENP101" s="22"/>
      <c r="ENQ101" s="22"/>
      <c r="ENR101" s="22"/>
      <c r="ENS101" s="22"/>
      <c r="ENT101" s="22"/>
      <c r="ENU101" s="22"/>
      <c r="ENV101" s="22"/>
      <c r="ENW101" s="22"/>
      <c r="ENX101" s="22"/>
      <c r="ENY101" s="22"/>
      <c r="ENZ101" s="22"/>
      <c r="EOA101" s="22"/>
      <c r="EOB101" s="22"/>
      <c r="EOC101" s="22"/>
      <c r="EOD101" s="22"/>
      <c r="EOE101" s="22"/>
      <c r="EOF101" s="22"/>
      <c r="EOG101" s="22"/>
      <c r="EOH101" s="22"/>
      <c r="EOI101" s="22"/>
      <c r="EOJ101" s="22"/>
      <c r="EOK101" s="22"/>
      <c r="EOL101" s="22"/>
      <c r="EOM101" s="22"/>
      <c r="EON101" s="22"/>
      <c r="EOO101" s="22"/>
      <c r="EOP101" s="22"/>
      <c r="EOQ101" s="22"/>
      <c r="EOR101" s="22"/>
      <c r="EOS101" s="22"/>
      <c r="EOT101" s="22"/>
      <c r="EOU101" s="22"/>
      <c r="EOV101" s="22"/>
      <c r="EOW101" s="22"/>
      <c r="EOX101" s="22"/>
      <c r="EOY101" s="22"/>
      <c r="EOZ101" s="22"/>
      <c r="EPA101" s="22"/>
      <c r="EPB101" s="22"/>
      <c r="EPC101" s="22"/>
      <c r="EPD101" s="22"/>
      <c r="EPE101" s="22"/>
      <c r="EPF101" s="22"/>
      <c r="EPG101" s="22"/>
      <c r="EPH101" s="22"/>
      <c r="EPI101" s="22"/>
      <c r="EPJ101" s="22"/>
      <c r="EPK101" s="22"/>
      <c r="EPL101" s="22"/>
      <c r="EPM101" s="22"/>
      <c r="EPN101" s="22"/>
      <c r="EPO101" s="22"/>
      <c r="EPP101" s="22"/>
      <c r="EPQ101" s="22"/>
      <c r="EPR101" s="22"/>
      <c r="EPS101" s="22"/>
      <c r="EPT101" s="22"/>
      <c r="EPU101" s="22"/>
      <c r="EPV101" s="22"/>
      <c r="EPW101" s="22"/>
      <c r="EPX101" s="22"/>
      <c r="EPY101" s="22"/>
      <c r="EPZ101" s="22"/>
      <c r="EQA101" s="22"/>
      <c r="EQB101" s="22"/>
      <c r="EQC101" s="22"/>
      <c r="EQD101" s="22"/>
      <c r="EQE101" s="22"/>
      <c r="EQF101" s="22"/>
      <c r="EQG101" s="22"/>
      <c r="EQH101" s="22"/>
      <c r="EQI101" s="22"/>
      <c r="EQJ101" s="22"/>
      <c r="EQK101" s="22"/>
      <c r="EQL101" s="22"/>
      <c r="EQM101" s="22"/>
      <c r="EQN101" s="22"/>
      <c r="EQO101" s="22"/>
      <c r="EQP101" s="22"/>
      <c r="EQQ101" s="22"/>
      <c r="EQR101" s="22"/>
      <c r="EQS101" s="22"/>
      <c r="EQT101" s="22"/>
      <c r="EQU101" s="22"/>
      <c r="EQV101" s="22"/>
      <c r="EQW101" s="22"/>
      <c r="EQX101" s="22"/>
      <c r="EQY101" s="22"/>
      <c r="EQZ101" s="22"/>
      <c r="ERA101" s="22"/>
      <c r="ERB101" s="22"/>
      <c r="ERC101" s="22"/>
      <c r="ERD101" s="22"/>
      <c r="ERE101" s="22"/>
      <c r="ERF101" s="22"/>
      <c r="ERG101" s="22"/>
      <c r="ERH101" s="22"/>
      <c r="ERI101" s="22"/>
      <c r="ERJ101" s="22"/>
      <c r="ERK101" s="22"/>
      <c r="ERL101" s="22"/>
      <c r="ERM101" s="22"/>
      <c r="ERN101" s="22"/>
      <c r="ERO101" s="22"/>
      <c r="ERP101" s="22"/>
      <c r="ERQ101" s="22"/>
      <c r="ERR101" s="22"/>
      <c r="ERS101" s="22"/>
      <c r="ERT101" s="22"/>
      <c r="ERU101" s="22"/>
      <c r="ERV101" s="22"/>
      <c r="ERW101" s="22"/>
      <c r="ERX101" s="22"/>
      <c r="ERY101" s="22"/>
      <c r="ERZ101" s="22"/>
      <c r="ESA101" s="22"/>
      <c r="ESB101" s="22"/>
      <c r="ESC101" s="22"/>
      <c r="ESD101" s="22"/>
      <c r="ESE101" s="22"/>
      <c r="ESF101" s="22"/>
      <c r="ESG101" s="22"/>
      <c r="ESH101" s="22"/>
      <c r="ESI101" s="22"/>
      <c r="ESJ101" s="22"/>
      <c r="ESK101" s="22"/>
      <c r="ESL101" s="22"/>
      <c r="ESM101" s="22"/>
      <c r="ESN101" s="22"/>
      <c r="ESO101" s="22"/>
      <c r="ESP101" s="22"/>
      <c r="ESQ101" s="22"/>
      <c r="ESR101" s="22"/>
      <c r="ESS101" s="22"/>
      <c r="EST101" s="22"/>
      <c r="ESU101" s="22"/>
      <c r="ESV101" s="22"/>
      <c r="ESW101" s="22"/>
      <c r="ESX101" s="22"/>
      <c r="ESY101" s="22"/>
      <c r="ESZ101" s="22"/>
      <c r="ETA101" s="22"/>
      <c r="ETB101" s="22"/>
      <c r="ETC101" s="22"/>
      <c r="ETD101" s="22"/>
      <c r="ETE101" s="22"/>
      <c r="ETF101" s="22"/>
      <c r="ETG101" s="22"/>
      <c r="ETH101" s="22"/>
      <c r="ETI101" s="22"/>
      <c r="ETJ101" s="22"/>
      <c r="ETK101" s="22"/>
      <c r="ETL101" s="22"/>
      <c r="ETM101" s="22"/>
      <c r="ETN101" s="22"/>
      <c r="ETO101" s="22"/>
      <c r="ETP101" s="22"/>
      <c r="ETQ101" s="22"/>
      <c r="ETR101" s="22"/>
      <c r="ETS101" s="22"/>
      <c r="ETT101" s="22"/>
      <c r="ETU101" s="22"/>
      <c r="ETV101" s="22"/>
      <c r="ETW101" s="22"/>
      <c r="ETX101" s="22"/>
      <c r="ETY101" s="22"/>
      <c r="ETZ101" s="22"/>
      <c r="EUA101" s="22"/>
      <c r="EUB101" s="22"/>
      <c r="EUC101" s="22"/>
      <c r="EUD101" s="22"/>
      <c r="EUE101" s="22"/>
      <c r="EUF101" s="22"/>
      <c r="EUG101" s="22"/>
      <c r="EUH101" s="22"/>
      <c r="EUI101" s="22"/>
      <c r="EUJ101" s="22"/>
      <c r="EUK101" s="22"/>
      <c r="EUL101" s="22"/>
      <c r="EUM101" s="22"/>
      <c r="EUN101" s="22"/>
      <c r="EUO101" s="22"/>
      <c r="EUP101" s="22"/>
      <c r="EUQ101" s="22"/>
      <c r="EUR101" s="22"/>
      <c r="EUS101" s="22"/>
      <c r="EUT101" s="22"/>
      <c r="EUU101" s="22"/>
      <c r="EUV101" s="22"/>
      <c r="EUW101" s="22"/>
      <c r="EUX101" s="22"/>
      <c r="EUY101" s="22"/>
      <c r="EUZ101" s="22"/>
      <c r="EVA101" s="22"/>
      <c r="EVB101" s="22"/>
      <c r="EVC101" s="22"/>
      <c r="EVD101" s="22"/>
      <c r="EVE101" s="22"/>
      <c r="EVF101" s="22"/>
      <c r="EVG101" s="22"/>
      <c r="EVH101" s="22"/>
      <c r="EVI101" s="22"/>
      <c r="EVJ101" s="22"/>
      <c r="EVK101" s="22"/>
      <c r="EVL101" s="22"/>
      <c r="EVM101" s="22"/>
      <c r="EVN101" s="22"/>
      <c r="EVO101" s="22"/>
      <c r="EVP101" s="22"/>
      <c r="EVQ101" s="22"/>
      <c r="EVR101" s="22"/>
      <c r="EVS101" s="22"/>
      <c r="EVT101" s="22"/>
      <c r="EVU101" s="22"/>
      <c r="EVV101" s="22"/>
      <c r="EVW101" s="22"/>
      <c r="EVX101" s="22"/>
      <c r="EVY101" s="22"/>
      <c r="EVZ101" s="22"/>
      <c r="EWA101" s="22"/>
      <c r="EWB101" s="22"/>
      <c r="EWC101" s="22"/>
      <c r="EWD101" s="22"/>
      <c r="EWE101" s="22"/>
      <c r="EWF101" s="22"/>
      <c r="EWG101" s="22"/>
      <c r="EWH101" s="22"/>
      <c r="EWI101" s="22"/>
      <c r="EWJ101" s="22"/>
      <c r="EWK101" s="22"/>
      <c r="EWL101" s="22"/>
      <c r="EWM101" s="22"/>
      <c r="EWN101" s="22"/>
      <c r="EWO101" s="22"/>
      <c r="EWP101" s="22"/>
      <c r="EWQ101" s="22"/>
      <c r="EWR101" s="22"/>
      <c r="EWS101" s="22"/>
      <c r="EWT101" s="22"/>
      <c r="EWU101" s="22"/>
      <c r="EWV101" s="22"/>
      <c r="EWW101" s="22"/>
      <c r="EWX101" s="22"/>
      <c r="EWY101" s="22"/>
      <c r="EWZ101" s="22"/>
      <c r="EXA101" s="22"/>
      <c r="EXB101" s="22"/>
      <c r="EXC101" s="22"/>
      <c r="EXD101" s="22"/>
      <c r="EXE101" s="22"/>
      <c r="EXF101" s="22"/>
      <c r="EXG101" s="22"/>
      <c r="EXH101" s="22"/>
      <c r="EXI101" s="22"/>
      <c r="EXJ101" s="22"/>
      <c r="EXK101" s="22"/>
      <c r="EXL101" s="22"/>
      <c r="EXM101" s="22"/>
      <c r="EXN101" s="22"/>
      <c r="EXO101" s="22"/>
      <c r="EXP101" s="22"/>
      <c r="EXQ101" s="22"/>
      <c r="EXR101" s="22"/>
      <c r="EXS101" s="22"/>
      <c r="EXT101" s="22"/>
      <c r="EXU101" s="22"/>
      <c r="EXV101" s="22"/>
      <c r="EXW101" s="22"/>
      <c r="EXX101" s="22"/>
      <c r="EXY101" s="22"/>
      <c r="EXZ101" s="22"/>
      <c r="EYA101" s="22"/>
      <c r="EYB101" s="22"/>
      <c r="EYC101" s="22"/>
      <c r="EYD101" s="22"/>
      <c r="EYE101" s="22"/>
      <c r="EYF101" s="22"/>
      <c r="EYG101" s="22"/>
      <c r="EYH101" s="22"/>
      <c r="EYI101" s="22"/>
      <c r="EYJ101" s="22"/>
      <c r="EYK101" s="22"/>
      <c r="EYL101" s="22"/>
      <c r="EYM101" s="22"/>
      <c r="EYN101" s="22"/>
      <c r="EYO101" s="22"/>
      <c r="EYP101" s="22"/>
      <c r="EYQ101" s="22"/>
      <c r="EYR101" s="22"/>
      <c r="EYS101" s="22"/>
      <c r="EYT101" s="22"/>
      <c r="EYU101" s="22"/>
      <c r="EYV101" s="22"/>
      <c r="EYW101" s="22"/>
      <c r="EYX101" s="22"/>
      <c r="EYY101" s="22"/>
      <c r="EYZ101" s="22"/>
      <c r="EZA101" s="22"/>
      <c r="EZB101" s="22"/>
      <c r="EZC101" s="22"/>
      <c r="EZD101" s="22"/>
      <c r="EZE101" s="22"/>
      <c r="EZF101" s="22"/>
      <c r="EZG101" s="22"/>
      <c r="EZH101" s="22"/>
      <c r="EZI101" s="22"/>
      <c r="EZJ101" s="22"/>
      <c r="EZK101" s="22"/>
      <c r="EZL101" s="22"/>
      <c r="EZM101" s="22"/>
      <c r="EZN101" s="22"/>
      <c r="EZO101" s="22"/>
      <c r="EZP101" s="22"/>
      <c r="EZQ101" s="22"/>
      <c r="EZR101" s="22"/>
      <c r="EZS101" s="22"/>
      <c r="EZT101" s="22"/>
      <c r="EZU101" s="22"/>
      <c r="EZV101" s="22"/>
      <c r="EZW101" s="22"/>
      <c r="EZX101" s="22"/>
      <c r="EZY101" s="22"/>
      <c r="EZZ101" s="22"/>
      <c r="FAA101" s="22"/>
      <c r="FAB101" s="22"/>
      <c r="FAC101" s="22"/>
      <c r="FAD101" s="22"/>
      <c r="FAE101" s="22"/>
      <c r="FAF101" s="22"/>
      <c r="FAG101" s="22"/>
      <c r="FAH101" s="22"/>
      <c r="FAI101" s="22"/>
      <c r="FAJ101" s="22"/>
      <c r="FAK101" s="22"/>
      <c r="FAL101" s="22"/>
      <c r="FAM101" s="22"/>
      <c r="FAN101" s="22"/>
      <c r="FAO101" s="22"/>
      <c r="FAP101" s="22"/>
      <c r="FAQ101" s="22"/>
      <c r="FAR101" s="22"/>
      <c r="FAS101" s="22"/>
      <c r="FAT101" s="22"/>
      <c r="FAU101" s="22"/>
      <c r="FAV101" s="22"/>
      <c r="FAW101" s="22"/>
      <c r="FAX101" s="22"/>
      <c r="FAY101" s="22"/>
      <c r="FAZ101" s="22"/>
      <c r="FBA101" s="22"/>
      <c r="FBB101" s="22"/>
      <c r="FBC101" s="22"/>
      <c r="FBD101" s="22"/>
      <c r="FBE101" s="22"/>
      <c r="FBF101" s="22"/>
      <c r="FBG101" s="22"/>
      <c r="FBH101" s="22"/>
      <c r="FBI101" s="22"/>
      <c r="FBJ101" s="22"/>
      <c r="FBK101" s="22"/>
      <c r="FBL101" s="22"/>
      <c r="FBM101" s="22"/>
      <c r="FBN101" s="22"/>
      <c r="FBO101" s="22"/>
      <c r="FBP101" s="22"/>
      <c r="FBQ101" s="22"/>
      <c r="FBR101" s="22"/>
      <c r="FBS101" s="22"/>
      <c r="FBT101" s="22"/>
      <c r="FBU101" s="22"/>
      <c r="FBV101" s="22"/>
      <c r="FBW101" s="22"/>
      <c r="FBX101" s="22"/>
      <c r="FBY101" s="22"/>
      <c r="FBZ101" s="22"/>
      <c r="FCA101" s="22"/>
      <c r="FCB101" s="22"/>
      <c r="FCC101" s="22"/>
      <c r="FCD101" s="22"/>
      <c r="FCE101" s="22"/>
      <c r="FCF101" s="22"/>
      <c r="FCG101" s="22"/>
      <c r="FCH101" s="22"/>
      <c r="FCI101" s="22"/>
      <c r="FCJ101" s="22"/>
      <c r="FCK101" s="22"/>
      <c r="FCL101" s="22"/>
      <c r="FCM101" s="22"/>
      <c r="FCN101" s="22"/>
      <c r="FCO101" s="22"/>
      <c r="FCP101" s="22"/>
      <c r="FCQ101" s="22"/>
      <c r="FCR101" s="22"/>
      <c r="FCS101" s="22"/>
      <c r="FCT101" s="22"/>
      <c r="FCU101" s="22"/>
      <c r="FCV101" s="22"/>
      <c r="FCW101" s="22"/>
      <c r="FCX101" s="22"/>
      <c r="FCY101" s="22"/>
      <c r="FCZ101" s="22"/>
      <c r="FDA101" s="22"/>
      <c r="FDB101" s="22"/>
      <c r="FDC101" s="22"/>
      <c r="FDD101" s="22"/>
      <c r="FDE101" s="22"/>
      <c r="FDF101" s="22"/>
      <c r="FDG101" s="22"/>
      <c r="FDH101" s="22"/>
      <c r="FDI101" s="22"/>
      <c r="FDJ101" s="22"/>
      <c r="FDK101" s="22"/>
      <c r="FDL101" s="22"/>
      <c r="FDM101" s="22"/>
      <c r="FDN101" s="22"/>
      <c r="FDO101" s="22"/>
      <c r="FDP101" s="22"/>
      <c r="FDQ101" s="22"/>
      <c r="FDR101" s="22"/>
      <c r="FDS101" s="22"/>
      <c r="FDT101" s="22"/>
      <c r="FDU101" s="22"/>
      <c r="FDV101" s="22"/>
      <c r="FDW101" s="22"/>
      <c r="FDX101" s="22"/>
      <c r="FDY101" s="22"/>
      <c r="FDZ101" s="22"/>
      <c r="FEA101" s="22"/>
      <c r="FEB101" s="22"/>
      <c r="FEC101" s="22"/>
      <c r="FED101" s="22"/>
      <c r="FEE101" s="22"/>
      <c r="FEF101" s="22"/>
      <c r="FEG101" s="22"/>
      <c r="FEH101" s="22"/>
      <c r="FEI101" s="22"/>
      <c r="FEJ101" s="22"/>
      <c r="FEK101" s="22"/>
      <c r="FEL101" s="22"/>
      <c r="FEM101" s="22"/>
      <c r="FEN101" s="22"/>
      <c r="FEO101" s="22"/>
      <c r="FEP101" s="22"/>
      <c r="FEQ101" s="22"/>
      <c r="FER101" s="22"/>
      <c r="FES101" s="22"/>
      <c r="FET101" s="22"/>
      <c r="FEU101" s="22"/>
      <c r="FEV101" s="22"/>
      <c r="FEW101" s="22"/>
      <c r="FEX101" s="22"/>
      <c r="FEY101" s="22"/>
      <c r="FEZ101" s="22"/>
      <c r="FFA101" s="22"/>
      <c r="FFB101" s="22"/>
      <c r="FFC101" s="22"/>
      <c r="FFD101" s="22"/>
      <c r="FFE101" s="22"/>
      <c r="FFF101" s="22"/>
      <c r="FFG101" s="22"/>
      <c r="FFH101" s="22"/>
      <c r="FFI101" s="22"/>
      <c r="FFJ101" s="22"/>
      <c r="FFK101" s="22"/>
      <c r="FFL101" s="22"/>
      <c r="FFM101" s="22"/>
      <c r="FFN101" s="22"/>
      <c r="FFO101" s="22"/>
      <c r="FFP101" s="22"/>
      <c r="FFQ101" s="22"/>
      <c r="FFR101" s="22"/>
      <c r="FFS101" s="22"/>
      <c r="FFT101" s="22"/>
      <c r="FFU101" s="22"/>
      <c r="FFV101" s="22"/>
      <c r="FFW101" s="22"/>
      <c r="FFX101" s="22"/>
      <c r="FFY101" s="22"/>
      <c r="FFZ101" s="22"/>
      <c r="FGA101" s="22"/>
      <c r="FGB101" s="22"/>
      <c r="FGC101" s="22"/>
      <c r="FGD101" s="22"/>
      <c r="FGE101" s="22"/>
      <c r="FGF101" s="22"/>
      <c r="FGG101" s="22"/>
      <c r="FGH101" s="22"/>
      <c r="FGI101" s="22"/>
      <c r="FGJ101" s="22"/>
      <c r="FGK101" s="22"/>
      <c r="FGL101" s="22"/>
      <c r="FGM101" s="22"/>
      <c r="FGN101" s="22"/>
      <c r="FGO101" s="22"/>
      <c r="FGP101" s="22"/>
      <c r="FGQ101" s="22"/>
      <c r="FGR101" s="22"/>
      <c r="FGS101" s="22"/>
      <c r="FGT101" s="22"/>
      <c r="FGU101" s="22"/>
      <c r="FGV101" s="22"/>
      <c r="FGW101" s="22"/>
      <c r="FGX101" s="22"/>
      <c r="FGY101" s="22"/>
      <c r="FGZ101" s="22"/>
      <c r="FHA101" s="22"/>
      <c r="FHB101" s="22"/>
      <c r="FHC101" s="22"/>
      <c r="FHD101" s="22"/>
      <c r="FHE101" s="22"/>
      <c r="FHF101" s="22"/>
      <c r="FHG101" s="22"/>
      <c r="FHH101" s="22"/>
      <c r="FHI101" s="22"/>
      <c r="FHJ101" s="22"/>
      <c r="FHK101" s="22"/>
      <c r="FHL101" s="22"/>
      <c r="FHM101" s="22"/>
      <c r="FHN101" s="22"/>
      <c r="FHO101" s="22"/>
      <c r="FHP101" s="22"/>
      <c r="FHQ101" s="22"/>
      <c r="FHR101" s="22"/>
      <c r="FHS101" s="22"/>
      <c r="FHT101" s="22"/>
      <c r="FHU101" s="22"/>
      <c r="FHV101" s="22"/>
      <c r="FHW101" s="22"/>
      <c r="FHX101" s="22"/>
      <c r="FHY101" s="22"/>
      <c r="FHZ101" s="22"/>
      <c r="FIA101" s="22"/>
      <c r="FIB101" s="22"/>
      <c r="FIC101" s="22"/>
      <c r="FID101" s="22"/>
      <c r="FIE101" s="22"/>
      <c r="FIF101" s="22"/>
      <c r="FIG101" s="22"/>
      <c r="FIH101" s="22"/>
      <c r="FII101" s="22"/>
      <c r="FIJ101" s="22"/>
      <c r="FIK101" s="22"/>
      <c r="FIL101" s="22"/>
      <c r="FIM101" s="22"/>
      <c r="FIN101" s="22"/>
      <c r="FIO101" s="22"/>
      <c r="FIP101" s="22"/>
      <c r="FIQ101" s="22"/>
      <c r="FIR101" s="22"/>
      <c r="FIS101" s="22"/>
      <c r="FIT101" s="22"/>
      <c r="FIU101" s="22"/>
      <c r="FIV101" s="22"/>
      <c r="FIW101" s="22"/>
      <c r="FIX101" s="22"/>
      <c r="FIY101" s="22"/>
      <c r="FIZ101" s="22"/>
      <c r="FJA101" s="22"/>
      <c r="FJB101" s="22"/>
      <c r="FJC101" s="22"/>
      <c r="FJD101" s="22"/>
      <c r="FJE101" s="22"/>
      <c r="FJF101" s="22"/>
      <c r="FJG101" s="22"/>
      <c r="FJH101" s="22"/>
      <c r="FJI101" s="22"/>
      <c r="FJJ101" s="22"/>
      <c r="FJK101" s="22"/>
      <c r="FJL101" s="22"/>
      <c r="FJM101" s="22"/>
      <c r="FJN101" s="22"/>
      <c r="FJO101" s="22"/>
      <c r="FJP101" s="22"/>
      <c r="FJQ101" s="22"/>
      <c r="FJR101" s="22"/>
      <c r="FJS101" s="22"/>
      <c r="FJT101" s="22"/>
      <c r="FJU101" s="22"/>
      <c r="FJV101" s="22"/>
      <c r="FJW101" s="22"/>
      <c r="FJX101" s="22"/>
      <c r="FJY101" s="22"/>
      <c r="FJZ101" s="22"/>
      <c r="FKA101" s="22"/>
      <c r="FKB101" s="22"/>
      <c r="FKC101" s="22"/>
      <c r="FKD101" s="22"/>
      <c r="FKE101" s="22"/>
      <c r="FKF101" s="22"/>
      <c r="FKG101" s="22"/>
      <c r="FKH101" s="22"/>
      <c r="FKI101" s="22"/>
      <c r="FKJ101" s="22"/>
      <c r="FKK101" s="22"/>
      <c r="FKL101" s="22"/>
      <c r="FKM101" s="22"/>
      <c r="FKN101" s="22"/>
      <c r="FKO101" s="22"/>
      <c r="FKP101" s="22"/>
      <c r="FKQ101" s="22"/>
      <c r="FKR101" s="22"/>
      <c r="FKS101" s="22"/>
      <c r="FKT101" s="22"/>
      <c r="FKU101" s="22"/>
      <c r="FKV101" s="22"/>
      <c r="FKW101" s="22"/>
      <c r="FKX101" s="22"/>
      <c r="FKY101" s="22"/>
      <c r="FKZ101" s="22"/>
      <c r="FLA101" s="22"/>
      <c r="FLB101" s="22"/>
      <c r="FLC101" s="22"/>
      <c r="FLD101" s="22"/>
      <c r="FLE101" s="22"/>
      <c r="FLF101" s="22"/>
      <c r="FLG101" s="22"/>
      <c r="FLH101" s="22"/>
      <c r="FLI101" s="22"/>
      <c r="FLJ101" s="22"/>
      <c r="FLK101" s="22"/>
      <c r="FLL101" s="22"/>
      <c r="FLM101" s="22"/>
      <c r="FLN101" s="22"/>
      <c r="FLO101" s="22"/>
      <c r="FLP101" s="22"/>
      <c r="FLQ101" s="22"/>
      <c r="FLR101" s="22"/>
      <c r="FLS101" s="22"/>
      <c r="FLT101" s="22"/>
      <c r="FLU101" s="22"/>
      <c r="FLV101" s="22"/>
      <c r="FLW101" s="22"/>
      <c r="FLX101" s="22"/>
      <c r="FLY101" s="22"/>
      <c r="FLZ101" s="22"/>
      <c r="FMA101" s="22"/>
      <c r="FMB101" s="22"/>
      <c r="FMC101" s="22"/>
      <c r="FMD101" s="22"/>
      <c r="FME101" s="22"/>
      <c r="FMF101" s="22"/>
      <c r="FMG101" s="22"/>
      <c r="FMH101" s="22"/>
      <c r="FMI101" s="22"/>
      <c r="FMJ101" s="22"/>
      <c r="FMK101" s="22"/>
      <c r="FML101" s="22"/>
      <c r="FMM101" s="22"/>
      <c r="FMN101" s="22"/>
      <c r="FMO101" s="22"/>
      <c r="FMP101" s="22"/>
      <c r="FMQ101" s="22"/>
      <c r="FMR101" s="22"/>
      <c r="FMS101" s="22"/>
      <c r="FMT101" s="22"/>
      <c r="FMU101" s="22"/>
      <c r="FMV101" s="22"/>
      <c r="FMW101" s="22"/>
      <c r="FMX101" s="22"/>
      <c r="FMY101" s="22"/>
      <c r="FMZ101" s="22"/>
      <c r="FNA101" s="22"/>
      <c r="FNB101" s="22"/>
      <c r="FNC101" s="22"/>
      <c r="FND101" s="22"/>
      <c r="FNE101" s="22"/>
      <c r="FNF101" s="22"/>
      <c r="FNG101" s="22"/>
      <c r="FNH101" s="22"/>
      <c r="FNI101" s="22"/>
      <c r="FNJ101" s="22"/>
      <c r="FNK101" s="22"/>
      <c r="FNL101" s="22"/>
      <c r="FNM101" s="22"/>
      <c r="FNN101" s="22"/>
      <c r="FNO101" s="22"/>
      <c r="FNP101" s="22"/>
      <c r="FNQ101" s="22"/>
      <c r="FNR101" s="22"/>
      <c r="FNS101" s="22"/>
      <c r="FNT101" s="22"/>
      <c r="FNU101" s="22"/>
      <c r="FNV101" s="22"/>
      <c r="FNW101" s="22"/>
      <c r="FNX101" s="22"/>
      <c r="FNY101" s="22"/>
      <c r="FNZ101" s="22"/>
      <c r="FOA101" s="22"/>
      <c r="FOB101" s="22"/>
      <c r="FOC101" s="22"/>
      <c r="FOD101" s="22"/>
      <c r="FOE101" s="22"/>
      <c r="FOF101" s="22"/>
      <c r="FOG101" s="22"/>
      <c r="FOH101" s="22"/>
      <c r="FOI101" s="22"/>
      <c r="FOJ101" s="22"/>
      <c r="FOK101" s="22"/>
      <c r="FOL101" s="22"/>
      <c r="FOM101" s="22"/>
      <c r="FON101" s="22"/>
      <c r="FOO101" s="22"/>
      <c r="FOP101" s="22"/>
      <c r="FOQ101" s="22"/>
      <c r="FOR101" s="22"/>
      <c r="FOS101" s="22"/>
      <c r="FOT101" s="22"/>
      <c r="FOU101" s="22"/>
      <c r="FOV101" s="22"/>
      <c r="FOW101" s="22"/>
      <c r="FOX101" s="22"/>
      <c r="FOY101" s="22"/>
      <c r="FOZ101" s="22"/>
      <c r="FPA101" s="22"/>
      <c r="FPB101" s="22"/>
      <c r="FPC101" s="22"/>
      <c r="FPD101" s="22"/>
      <c r="FPE101" s="22"/>
      <c r="FPF101" s="22"/>
      <c r="FPG101" s="22"/>
      <c r="FPH101" s="22"/>
      <c r="FPI101" s="22"/>
      <c r="FPJ101" s="22"/>
      <c r="FPK101" s="22"/>
      <c r="FPL101" s="22"/>
      <c r="FPM101" s="22"/>
      <c r="FPN101" s="22"/>
      <c r="FPO101" s="22"/>
      <c r="FPP101" s="22"/>
      <c r="FPQ101" s="22"/>
      <c r="FPR101" s="22"/>
      <c r="FPS101" s="22"/>
      <c r="FPT101" s="22"/>
      <c r="FPU101" s="22"/>
      <c r="FPV101" s="22"/>
      <c r="FPW101" s="22"/>
      <c r="FPX101" s="22"/>
      <c r="FPY101" s="22"/>
      <c r="FPZ101" s="22"/>
      <c r="FQA101" s="22"/>
      <c r="FQB101" s="22"/>
      <c r="FQC101" s="22"/>
      <c r="FQD101" s="22"/>
      <c r="FQE101" s="22"/>
      <c r="FQF101" s="22"/>
      <c r="FQG101" s="22"/>
      <c r="FQH101" s="22"/>
      <c r="FQI101" s="22"/>
      <c r="FQJ101" s="22"/>
      <c r="FQK101" s="22"/>
      <c r="FQL101" s="22"/>
      <c r="FQM101" s="22"/>
      <c r="FQN101" s="22"/>
      <c r="FQO101" s="22"/>
      <c r="FQP101" s="22"/>
      <c r="FQQ101" s="22"/>
      <c r="FQR101" s="22"/>
      <c r="FQS101" s="22"/>
      <c r="FQT101" s="22"/>
      <c r="FQU101" s="22"/>
      <c r="FQV101" s="22"/>
      <c r="FQW101" s="22"/>
      <c r="FQX101" s="22"/>
      <c r="FQY101" s="22"/>
      <c r="FQZ101" s="22"/>
      <c r="FRA101" s="22"/>
      <c r="FRB101" s="22"/>
      <c r="FRC101" s="22"/>
      <c r="FRD101" s="22"/>
      <c r="FRE101" s="22"/>
      <c r="FRF101" s="22"/>
      <c r="FRG101" s="22"/>
      <c r="FRH101" s="22"/>
      <c r="FRI101" s="22"/>
      <c r="FRJ101" s="22"/>
      <c r="FRK101" s="22"/>
      <c r="FRL101" s="22"/>
      <c r="FRM101" s="22"/>
      <c r="FRN101" s="22"/>
      <c r="FRO101" s="22"/>
      <c r="FRP101" s="22"/>
      <c r="FRQ101" s="22"/>
      <c r="FRR101" s="22"/>
      <c r="FRS101" s="22"/>
      <c r="FRT101" s="22"/>
      <c r="FRU101" s="22"/>
      <c r="FRV101" s="22"/>
      <c r="FRW101" s="22"/>
      <c r="FRX101" s="22"/>
      <c r="FRY101" s="22"/>
      <c r="FRZ101" s="22"/>
      <c r="FSA101" s="22"/>
      <c r="FSB101" s="22"/>
      <c r="FSC101" s="22"/>
      <c r="FSD101" s="22"/>
      <c r="FSE101" s="22"/>
      <c r="FSF101" s="22"/>
      <c r="FSG101" s="22"/>
      <c r="FSH101" s="22"/>
      <c r="FSI101" s="22"/>
      <c r="FSJ101" s="22"/>
      <c r="FSK101" s="22"/>
      <c r="FSL101" s="22"/>
      <c r="FSM101" s="22"/>
      <c r="FSN101" s="22"/>
      <c r="FSO101" s="22"/>
      <c r="FSP101" s="22"/>
      <c r="FSQ101" s="22"/>
      <c r="FSR101" s="22"/>
      <c r="FSS101" s="22"/>
      <c r="FST101" s="22"/>
      <c r="FSU101" s="22"/>
      <c r="FSV101" s="22"/>
      <c r="FSW101" s="22"/>
      <c r="FSX101" s="22"/>
      <c r="FSY101" s="22"/>
      <c r="FSZ101" s="22"/>
      <c r="FTA101" s="22"/>
      <c r="FTB101" s="22"/>
      <c r="FTC101" s="22"/>
      <c r="FTD101" s="22"/>
      <c r="FTE101" s="22"/>
      <c r="FTF101" s="22"/>
      <c r="FTG101" s="22"/>
      <c r="FTH101" s="22"/>
      <c r="FTI101" s="22"/>
      <c r="FTJ101" s="22"/>
      <c r="FTK101" s="22"/>
      <c r="FTL101" s="22"/>
      <c r="FTM101" s="22"/>
      <c r="FTN101" s="22"/>
      <c r="FTO101" s="22"/>
      <c r="FTP101" s="22"/>
      <c r="FTQ101" s="22"/>
      <c r="FTR101" s="22"/>
      <c r="FTS101" s="22"/>
      <c r="FTT101" s="22"/>
      <c r="FTU101" s="22"/>
      <c r="FTV101" s="22"/>
      <c r="FTW101" s="22"/>
      <c r="FTX101" s="22"/>
      <c r="FTY101" s="22"/>
      <c r="FTZ101" s="22"/>
      <c r="FUA101" s="22"/>
      <c r="FUB101" s="22"/>
      <c r="FUC101" s="22"/>
      <c r="FUD101" s="22"/>
      <c r="FUE101" s="22"/>
      <c r="FUF101" s="22"/>
      <c r="FUG101" s="22"/>
      <c r="FUH101" s="22"/>
      <c r="FUI101" s="22"/>
      <c r="FUJ101" s="22"/>
      <c r="FUK101" s="22"/>
      <c r="FUL101" s="22"/>
      <c r="FUM101" s="22"/>
      <c r="FUN101" s="22"/>
      <c r="FUO101" s="22"/>
      <c r="FUP101" s="22"/>
      <c r="FUQ101" s="22"/>
      <c r="FUR101" s="22"/>
      <c r="FUS101" s="22"/>
      <c r="FUT101" s="22"/>
      <c r="FUU101" s="22"/>
      <c r="FUV101" s="22"/>
      <c r="FUW101" s="22"/>
      <c r="FUX101" s="22"/>
      <c r="FUY101" s="22"/>
      <c r="FUZ101" s="22"/>
      <c r="FVA101" s="22"/>
      <c r="FVB101" s="22"/>
      <c r="FVC101" s="22"/>
      <c r="FVD101" s="22"/>
      <c r="FVE101" s="22"/>
      <c r="FVF101" s="22"/>
      <c r="FVG101" s="22"/>
      <c r="FVH101" s="22"/>
      <c r="FVI101" s="22"/>
      <c r="FVJ101" s="22"/>
      <c r="FVK101" s="22"/>
      <c r="FVL101" s="22"/>
      <c r="FVM101" s="22"/>
      <c r="FVN101" s="22"/>
      <c r="FVO101" s="22"/>
      <c r="FVP101" s="22"/>
      <c r="FVQ101" s="22"/>
      <c r="FVR101" s="22"/>
      <c r="FVS101" s="22"/>
      <c r="FVT101" s="22"/>
      <c r="FVU101" s="22"/>
      <c r="FVV101" s="22"/>
      <c r="FVW101" s="22"/>
      <c r="FVX101" s="22"/>
      <c r="FVY101" s="22"/>
      <c r="FVZ101" s="22"/>
      <c r="FWA101" s="22"/>
      <c r="FWB101" s="22"/>
      <c r="FWC101" s="22"/>
      <c r="FWD101" s="22"/>
      <c r="FWE101" s="22"/>
      <c r="FWF101" s="22"/>
      <c r="FWG101" s="22"/>
      <c r="FWH101" s="22"/>
      <c r="FWI101" s="22"/>
      <c r="FWJ101" s="22"/>
      <c r="FWK101" s="22"/>
      <c r="FWL101" s="22"/>
      <c r="FWM101" s="22"/>
      <c r="FWN101" s="22"/>
      <c r="FWO101" s="22"/>
      <c r="FWP101" s="22"/>
      <c r="FWQ101" s="22"/>
      <c r="FWR101" s="22"/>
      <c r="FWS101" s="22"/>
      <c r="FWT101" s="22"/>
      <c r="FWU101" s="22"/>
      <c r="FWV101" s="22"/>
      <c r="FWW101" s="22"/>
      <c r="FWX101" s="22"/>
      <c r="FWY101" s="22"/>
      <c r="FWZ101" s="22"/>
      <c r="FXA101" s="22"/>
      <c r="FXB101" s="22"/>
      <c r="FXC101" s="22"/>
      <c r="FXD101" s="22"/>
      <c r="FXE101" s="22"/>
      <c r="FXF101" s="22"/>
      <c r="FXG101" s="22"/>
      <c r="FXH101" s="22"/>
      <c r="FXI101" s="22"/>
      <c r="FXJ101" s="22"/>
      <c r="FXK101" s="22"/>
      <c r="FXL101" s="22"/>
      <c r="FXM101" s="22"/>
      <c r="FXN101" s="22"/>
      <c r="FXO101" s="22"/>
      <c r="FXP101" s="22"/>
      <c r="FXQ101" s="22"/>
      <c r="FXR101" s="22"/>
      <c r="FXS101" s="22"/>
      <c r="FXT101" s="22"/>
      <c r="FXU101" s="22"/>
      <c r="FXV101" s="22"/>
      <c r="FXW101" s="22"/>
      <c r="FXX101" s="22"/>
      <c r="FXY101" s="22"/>
      <c r="FXZ101" s="22"/>
      <c r="FYA101" s="22"/>
      <c r="FYB101" s="22"/>
      <c r="FYC101" s="22"/>
      <c r="FYD101" s="22"/>
      <c r="FYE101" s="22"/>
      <c r="FYF101" s="22"/>
      <c r="FYG101" s="22"/>
      <c r="FYH101" s="22"/>
      <c r="FYI101" s="22"/>
      <c r="FYJ101" s="22"/>
      <c r="FYK101" s="22"/>
      <c r="FYL101" s="22"/>
      <c r="FYM101" s="22"/>
      <c r="FYN101" s="22"/>
      <c r="FYO101" s="22"/>
      <c r="FYP101" s="22"/>
      <c r="FYQ101" s="22"/>
      <c r="FYR101" s="22"/>
      <c r="FYS101" s="22"/>
      <c r="FYT101" s="22"/>
      <c r="FYU101" s="22"/>
      <c r="FYV101" s="22"/>
      <c r="FYW101" s="22"/>
      <c r="FYX101" s="22"/>
      <c r="FYY101" s="22"/>
      <c r="FYZ101" s="22"/>
      <c r="FZA101" s="22"/>
      <c r="FZB101" s="22"/>
      <c r="FZC101" s="22"/>
      <c r="FZD101" s="22"/>
      <c r="FZE101" s="22"/>
      <c r="FZF101" s="22"/>
      <c r="FZG101" s="22"/>
      <c r="FZH101" s="22"/>
      <c r="FZI101" s="22"/>
      <c r="FZJ101" s="22"/>
      <c r="FZK101" s="22"/>
      <c r="FZL101" s="22"/>
      <c r="FZM101" s="22"/>
      <c r="FZN101" s="22"/>
      <c r="FZO101" s="22"/>
      <c r="FZP101" s="22"/>
      <c r="FZQ101" s="22"/>
      <c r="FZR101" s="22"/>
      <c r="FZS101" s="22"/>
      <c r="FZT101" s="22"/>
      <c r="FZU101" s="22"/>
      <c r="FZV101" s="22"/>
      <c r="FZW101" s="22"/>
      <c r="FZX101" s="22"/>
      <c r="FZY101" s="22"/>
      <c r="FZZ101" s="22"/>
      <c r="GAA101" s="22"/>
      <c r="GAB101" s="22"/>
      <c r="GAC101" s="22"/>
      <c r="GAD101" s="22"/>
      <c r="GAE101" s="22"/>
      <c r="GAF101" s="22"/>
      <c r="GAG101" s="22"/>
      <c r="GAH101" s="22"/>
      <c r="GAI101" s="22"/>
      <c r="GAJ101" s="22"/>
      <c r="GAK101" s="22"/>
      <c r="GAL101" s="22"/>
      <c r="GAM101" s="22"/>
      <c r="GAN101" s="22"/>
      <c r="GAO101" s="22"/>
      <c r="GAP101" s="22"/>
      <c r="GAQ101" s="22"/>
      <c r="GAR101" s="22"/>
      <c r="GAS101" s="22"/>
      <c r="GAT101" s="22"/>
      <c r="GAU101" s="22"/>
      <c r="GAV101" s="22"/>
      <c r="GAW101" s="22"/>
      <c r="GAX101" s="22"/>
      <c r="GAY101" s="22"/>
      <c r="GAZ101" s="22"/>
      <c r="GBA101" s="22"/>
      <c r="GBB101" s="22"/>
      <c r="GBC101" s="22"/>
      <c r="GBD101" s="22"/>
      <c r="GBE101" s="22"/>
      <c r="GBF101" s="22"/>
      <c r="GBG101" s="22"/>
      <c r="GBH101" s="22"/>
      <c r="GBI101" s="22"/>
      <c r="GBJ101" s="22"/>
      <c r="GBK101" s="22"/>
      <c r="GBL101" s="22"/>
      <c r="GBM101" s="22"/>
      <c r="GBN101" s="22"/>
      <c r="GBO101" s="22"/>
      <c r="GBP101" s="22"/>
      <c r="GBQ101" s="22"/>
      <c r="GBR101" s="22"/>
      <c r="GBS101" s="22"/>
      <c r="GBT101" s="22"/>
      <c r="GBU101" s="22"/>
      <c r="GBV101" s="22"/>
      <c r="GBW101" s="22"/>
      <c r="GBX101" s="22"/>
      <c r="GBY101" s="22"/>
      <c r="GBZ101" s="22"/>
      <c r="GCA101" s="22"/>
      <c r="GCB101" s="22"/>
      <c r="GCC101" s="22"/>
      <c r="GCD101" s="22"/>
      <c r="GCE101" s="22"/>
      <c r="GCF101" s="22"/>
      <c r="GCG101" s="22"/>
      <c r="GCH101" s="22"/>
      <c r="GCI101" s="22"/>
      <c r="GCJ101" s="22"/>
      <c r="GCK101" s="22"/>
      <c r="GCL101" s="22"/>
      <c r="GCM101" s="22"/>
      <c r="GCN101" s="22"/>
      <c r="GCO101" s="22"/>
      <c r="GCP101" s="22"/>
      <c r="GCQ101" s="22"/>
      <c r="GCR101" s="22"/>
      <c r="GCS101" s="22"/>
      <c r="GCT101" s="22"/>
      <c r="GCU101" s="22"/>
      <c r="GCV101" s="22"/>
      <c r="GCW101" s="22"/>
      <c r="GCX101" s="22"/>
      <c r="GCY101" s="22"/>
      <c r="GCZ101" s="22"/>
      <c r="GDA101" s="22"/>
      <c r="GDB101" s="22"/>
      <c r="GDC101" s="22"/>
      <c r="GDD101" s="22"/>
      <c r="GDE101" s="22"/>
      <c r="GDF101" s="22"/>
      <c r="GDG101" s="22"/>
      <c r="GDH101" s="22"/>
      <c r="GDI101" s="22"/>
      <c r="GDJ101" s="22"/>
      <c r="GDK101" s="22"/>
      <c r="GDL101" s="22"/>
      <c r="GDM101" s="22"/>
      <c r="GDN101" s="22"/>
      <c r="GDO101" s="22"/>
      <c r="GDP101" s="22"/>
      <c r="GDQ101" s="22"/>
      <c r="GDR101" s="22"/>
      <c r="GDS101" s="22"/>
      <c r="GDT101" s="22"/>
      <c r="GDU101" s="22"/>
      <c r="GDV101" s="22"/>
      <c r="GDW101" s="22"/>
      <c r="GDX101" s="22"/>
      <c r="GDY101" s="22"/>
      <c r="GDZ101" s="22"/>
      <c r="GEA101" s="22"/>
      <c r="GEB101" s="22"/>
      <c r="GEC101" s="22"/>
      <c r="GED101" s="22"/>
      <c r="GEE101" s="22"/>
      <c r="GEF101" s="22"/>
      <c r="GEG101" s="22"/>
      <c r="GEH101" s="22"/>
      <c r="GEI101" s="22"/>
      <c r="GEJ101" s="22"/>
      <c r="GEK101" s="22"/>
      <c r="GEL101" s="22"/>
      <c r="GEM101" s="22"/>
      <c r="GEN101" s="22"/>
      <c r="GEO101" s="22"/>
      <c r="GEP101" s="22"/>
      <c r="GEQ101" s="22"/>
      <c r="GER101" s="22"/>
      <c r="GES101" s="22"/>
      <c r="GET101" s="22"/>
      <c r="GEU101" s="22"/>
      <c r="GEV101" s="22"/>
      <c r="GEW101" s="22"/>
      <c r="GEX101" s="22"/>
      <c r="GEY101" s="22"/>
      <c r="GEZ101" s="22"/>
      <c r="GFA101" s="22"/>
      <c r="GFB101" s="22"/>
      <c r="GFC101" s="22"/>
      <c r="GFD101" s="22"/>
      <c r="GFE101" s="22"/>
      <c r="GFF101" s="22"/>
      <c r="GFG101" s="22"/>
      <c r="GFH101" s="22"/>
      <c r="GFI101" s="22"/>
      <c r="GFJ101" s="22"/>
      <c r="GFK101" s="22"/>
      <c r="GFL101" s="22"/>
      <c r="GFM101" s="22"/>
      <c r="GFN101" s="22"/>
      <c r="GFO101" s="22"/>
      <c r="GFP101" s="22"/>
      <c r="GFQ101" s="22"/>
      <c r="GFR101" s="22"/>
      <c r="GFS101" s="22"/>
      <c r="GFT101" s="22"/>
      <c r="GFU101" s="22"/>
      <c r="GFV101" s="22"/>
      <c r="GFW101" s="22"/>
      <c r="GFX101" s="22"/>
      <c r="GFY101" s="22"/>
      <c r="GFZ101" s="22"/>
      <c r="GGA101" s="22"/>
      <c r="GGB101" s="22"/>
      <c r="GGC101" s="22"/>
      <c r="GGD101" s="22"/>
      <c r="GGE101" s="22"/>
      <c r="GGF101" s="22"/>
      <c r="GGG101" s="22"/>
      <c r="GGH101" s="22"/>
      <c r="GGI101" s="22"/>
      <c r="GGJ101" s="22"/>
      <c r="GGK101" s="22"/>
      <c r="GGL101" s="22"/>
      <c r="GGM101" s="22"/>
      <c r="GGN101" s="22"/>
      <c r="GGO101" s="22"/>
      <c r="GGP101" s="22"/>
      <c r="GGQ101" s="22"/>
      <c r="GGR101" s="22"/>
      <c r="GGS101" s="22"/>
      <c r="GGT101" s="22"/>
      <c r="GGU101" s="22"/>
      <c r="GGV101" s="22"/>
      <c r="GGW101" s="22"/>
      <c r="GGX101" s="22"/>
      <c r="GGY101" s="22"/>
      <c r="GGZ101" s="22"/>
      <c r="GHA101" s="22"/>
      <c r="GHB101" s="22"/>
      <c r="GHC101" s="22"/>
      <c r="GHD101" s="22"/>
      <c r="GHE101" s="22"/>
      <c r="GHF101" s="22"/>
      <c r="GHG101" s="22"/>
      <c r="GHH101" s="22"/>
      <c r="GHI101" s="22"/>
      <c r="GHJ101" s="22"/>
      <c r="GHK101" s="22"/>
      <c r="GHL101" s="22"/>
      <c r="GHM101" s="22"/>
      <c r="GHN101" s="22"/>
      <c r="GHO101" s="22"/>
      <c r="GHP101" s="22"/>
      <c r="GHQ101" s="22"/>
      <c r="GHR101" s="22"/>
      <c r="GHS101" s="22"/>
      <c r="GHT101" s="22"/>
      <c r="GHU101" s="22"/>
      <c r="GHV101" s="22"/>
      <c r="GHW101" s="22"/>
      <c r="GHX101" s="22"/>
      <c r="GHY101" s="22"/>
      <c r="GHZ101" s="22"/>
      <c r="GIA101" s="22"/>
      <c r="GIB101" s="22"/>
      <c r="GIC101" s="22"/>
      <c r="GID101" s="22"/>
      <c r="GIE101" s="22"/>
      <c r="GIF101" s="22"/>
      <c r="GIG101" s="22"/>
      <c r="GIH101" s="22"/>
      <c r="GII101" s="22"/>
      <c r="GIJ101" s="22"/>
      <c r="GIK101" s="22"/>
      <c r="GIL101" s="22"/>
      <c r="GIM101" s="22"/>
      <c r="GIN101" s="22"/>
      <c r="GIO101" s="22"/>
      <c r="GIP101" s="22"/>
      <c r="GIQ101" s="22"/>
      <c r="GIR101" s="22"/>
      <c r="GIS101" s="22"/>
      <c r="GIT101" s="22"/>
      <c r="GIU101" s="22"/>
      <c r="GIV101" s="22"/>
      <c r="GIW101" s="22"/>
      <c r="GIX101" s="22"/>
      <c r="GIY101" s="22"/>
      <c r="GIZ101" s="22"/>
      <c r="GJA101" s="22"/>
      <c r="GJB101" s="22"/>
      <c r="GJC101" s="22"/>
      <c r="GJD101" s="22"/>
      <c r="GJE101" s="22"/>
      <c r="GJF101" s="22"/>
      <c r="GJG101" s="22"/>
      <c r="GJH101" s="22"/>
      <c r="GJI101" s="22"/>
      <c r="GJJ101" s="22"/>
      <c r="GJK101" s="22"/>
      <c r="GJL101" s="22"/>
      <c r="GJM101" s="22"/>
      <c r="GJN101" s="22"/>
      <c r="GJO101" s="22"/>
      <c r="GJP101" s="22"/>
      <c r="GJQ101" s="22"/>
      <c r="GJR101" s="22"/>
      <c r="GJS101" s="22"/>
      <c r="GJT101" s="22"/>
      <c r="GJU101" s="22"/>
      <c r="GJV101" s="22"/>
      <c r="GJW101" s="22"/>
      <c r="GJX101" s="22"/>
      <c r="GJY101" s="22"/>
      <c r="GJZ101" s="22"/>
      <c r="GKA101" s="22"/>
      <c r="GKB101" s="22"/>
      <c r="GKC101" s="22"/>
      <c r="GKD101" s="22"/>
      <c r="GKE101" s="22"/>
      <c r="GKF101" s="22"/>
      <c r="GKG101" s="22"/>
      <c r="GKH101" s="22"/>
      <c r="GKI101" s="22"/>
      <c r="GKJ101" s="22"/>
      <c r="GKK101" s="22"/>
      <c r="GKL101" s="22"/>
      <c r="GKM101" s="22"/>
      <c r="GKN101" s="22"/>
      <c r="GKO101" s="22"/>
      <c r="GKP101" s="22"/>
      <c r="GKQ101" s="22"/>
      <c r="GKR101" s="22"/>
      <c r="GKS101" s="22"/>
      <c r="GKT101" s="22"/>
      <c r="GKU101" s="22"/>
      <c r="GKV101" s="22"/>
      <c r="GKW101" s="22"/>
      <c r="GKX101" s="22"/>
      <c r="GKY101" s="22"/>
      <c r="GKZ101" s="22"/>
      <c r="GLA101" s="22"/>
      <c r="GLB101" s="22"/>
      <c r="GLC101" s="22"/>
      <c r="GLD101" s="22"/>
      <c r="GLE101" s="22"/>
      <c r="GLF101" s="22"/>
      <c r="GLG101" s="22"/>
      <c r="GLH101" s="22"/>
      <c r="GLI101" s="22"/>
      <c r="GLJ101" s="22"/>
      <c r="GLK101" s="22"/>
      <c r="GLL101" s="22"/>
      <c r="GLM101" s="22"/>
      <c r="GLN101" s="22"/>
      <c r="GLO101" s="22"/>
      <c r="GLP101" s="22"/>
      <c r="GLQ101" s="22"/>
      <c r="GLR101" s="22"/>
      <c r="GLS101" s="22"/>
      <c r="GLT101" s="22"/>
      <c r="GLU101" s="22"/>
      <c r="GLV101" s="22"/>
      <c r="GLW101" s="22"/>
      <c r="GLX101" s="22"/>
      <c r="GLY101" s="22"/>
      <c r="GLZ101" s="22"/>
      <c r="GMA101" s="22"/>
      <c r="GMB101" s="22"/>
      <c r="GMC101" s="22"/>
      <c r="GMD101" s="22"/>
      <c r="GME101" s="22"/>
      <c r="GMF101" s="22"/>
      <c r="GMG101" s="22"/>
      <c r="GMH101" s="22"/>
      <c r="GMI101" s="22"/>
      <c r="GMJ101" s="22"/>
      <c r="GMK101" s="22"/>
      <c r="GML101" s="22"/>
      <c r="GMM101" s="22"/>
      <c r="GMN101" s="22"/>
      <c r="GMO101" s="22"/>
      <c r="GMP101" s="22"/>
      <c r="GMQ101" s="22"/>
      <c r="GMR101" s="22"/>
      <c r="GMS101" s="22"/>
      <c r="GMT101" s="22"/>
      <c r="GMU101" s="22"/>
      <c r="GMV101" s="22"/>
      <c r="GMW101" s="22"/>
      <c r="GMX101" s="22"/>
      <c r="GMY101" s="22"/>
      <c r="GMZ101" s="22"/>
      <c r="GNA101" s="22"/>
      <c r="GNB101" s="22"/>
      <c r="GNC101" s="22"/>
      <c r="GND101" s="22"/>
      <c r="GNE101" s="22"/>
      <c r="GNF101" s="22"/>
      <c r="GNG101" s="22"/>
      <c r="GNH101" s="22"/>
      <c r="GNI101" s="22"/>
      <c r="GNJ101" s="22"/>
      <c r="GNK101" s="22"/>
      <c r="GNL101" s="22"/>
      <c r="GNM101" s="22"/>
      <c r="GNN101" s="22"/>
      <c r="GNO101" s="22"/>
      <c r="GNP101" s="22"/>
      <c r="GNQ101" s="22"/>
      <c r="GNR101" s="22"/>
      <c r="GNS101" s="22"/>
      <c r="GNT101" s="22"/>
      <c r="GNU101" s="22"/>
      <c r="GNV101" s="22"/>
      <c r="GNW101" s="22"/>
      <c r="GNX101" s="22"/>
      <c r="GNY101" s="22"/>
      <c r="GNZ101" s="22"/>
      <c r="GOA101" s="22"/>
      <c r="GOB101" s="22"/>
      <c r="GOC101" s="22"/>
      <c r="GOD101" s="22"/>
      <c r="GOE101" s="22"/>
      <c r="GOF101" s="22"/>
      <c r="GOG101" s="22"/>
      <c r="GOH101" s="22"/>
      <c r="GOI101" s="22"/>
      <c r="GOJ101" s="22"/>
      <c r="GOK101" s="22"/>
      <c r="GOL101" s="22"/>
      <c r="GOM101" s="22"/>
      <c r="GON101" s="22"/>
      <c r="GOO101" s="22"/>
      <c r="GOP101" s="22"/>
      <c r="GOQ101" s="22"/>
      <c r="GOR101" s="22"/>
      <c r="GOS101" s="22"/>
      <c r="GOT101" s="22"/>
      <c r="GOU101" s="22"/>
      <c r="GOV101" s="22"/>
      <c r="GOW101" s="22"/>
      <c r="GOX101" s="22"/>
      <c r="GOY101" s="22"/>
      <c r="GOZ101" s="22"/>
      <c r="GPA101" s="22"/>
      <c r="GPB101" s="22"/>
      <c r="GPC101" s="22"/>
      <c r="GPD101" s="22"/>
      <c r="GPE101" s="22"/>
      <c r="GPF101" s="22"/>
      <c r="GPG101" s="22"/>
      <c r="GPH101" s="22"/>
      <c r="GPI101" s="22"/>
      <c r="GPJ101" s="22"/>
      <c r="GPK101" s="22"/>
      <c r="GPL101" s="22"/>
      <c r="GPM101" s="22"/>
      <c r="GPN101" s="22"/>
      <c r="GPO101" s="22"/>
      <c r="GPP101" s="22"/>
      <c r="GPQ101" s="22"/>
      <c r="GPR101" s="22"/>
      <c r="GPS101" s="22"/>
      <c r="GPT101" s="22"/>
      <c r="GPU101" s="22"/>
      <c r="GPV101" s="22"/>
      <c r="GPW101" s="22"/>
      <c r="GPX101" s="22"/>
      <c r="GPY101" s="22"/>
      <c r="GPZ101" s="22"/>
      <c r="GQA101" s="22"/>
      <c r="GQB101" s="22"/>
      <c r="GQC101" s="22"/>
      <c r="GQD101" s="22"/>
      <c r="GQE101" s="22"/>
      <c r="GQF101" s="22"/>
      <c r="GQG101" s="22"/>
      <c r="GQH101" s="22"/>
      <c r="GQI101" s="22"/>
      <c r="GQJ101" s="22"/>
      <c r="GQK101" s="22"/>
      <c r="GQL101" s="22"/>
      <c r="GQM101" s="22"/>
      <c r="GQN101" s="22"/>
      <c r="GQO101" s="22"/>
      <c r="GQP101" s="22"/>
      <c r="GQQ101" s="22"/>
      <c r="GQR101" s="22"/>
      <c r="GQS101" s="22"/>
      <c r="GQT101" s="22"/>
      <c r="GQU101" s="22"/>
      <c r="GQV101" s="22"/>
      <c r="GQW101" s="22"/>
      <c r="GQX101" s="22"/>
      <c r="GQY101" s="22"/>
      <c r="GQZ101" s="22"/>
      <c r="GRA101" s="22"/>
      <c r="GRB101" s="22"/>
      <c r="GRC101" s="22"/>
      <c r="GRD101" s="22"/>
      <c r="GRE101" s="22"/>
      <c r="GRF101" s="22"/>
      <c r="GRG101" s="22"/>
      <c r="GRH101" s="22"/>
      <c r="GRI101" s="22"/>
      <c r="GRJ101" s="22"/>
      <c r="GRK101" s="22"/>
      <c r="GRL101" s="22"/>
      <c r="GRM101" s="22"/>
      <c r="GRN101" s="22"/>
      <c r="GRO101" s="22"/>
      <c r="GRP101" s="22"/>
      <c r="GRQ101" s="22"/>
      <c r="GRR101" s="22"/>
      <c r="GRS101" s="22"/>
      <c r="GRT101" s="22"/>
      <c r="GRU101" s="22"/>
      <c r="GRV101" s="22"/>
      <c r="GRW101" s="22"/>
      <c r="GRX101" s="22"/>
      <c r="GRY101" s="22"/>
      <c r="GRZ101" s="22"/>
      <c r="GSA101" s="22"/>
      <c r="GSB101" s="22"/>
      <c r="GSC101" s="22"/>
      <c r="GSD101" s="22"/>
      <c r="GSE101" s="22"/>
      <c r="GSF101" s="22"/>
      <c r="GSG101" s="22"/>
      <c r="GSH101" s="22"/>
      <c r="GSI101" s="22"/>
      <c r="GSJ101" s="22"/>
      <c r="GSK101" s="22"/>
      <c r="GSL101" s="22"/>
      <c r="GSM101" s="22"/>
      <c r="GSN101" s="22"/>
      <c r="GSO101" s="22"/>
      <c r="GSP101" s="22"/>
      <c r="GSQ101" s="22"/>
      <c r="GSR101" s="22"/>
      <c r="GSS101" s="22"/>
      <c r="GST101" s="22"/>
      <c r="GSU101" s="22"/>
      <c r="GSV101" s="22"/>
      <c r="GSW101" s="22"/>
      <c r="GSX101" s="22"/>
      <c r="GSY101" s="22"/>
      <c r="GSZ101" s="22"/>
      <c r="GTA101" s="22"/>
      <c r="GTB101" s="22"/>
      <c r="GTC101" s="22"/>
      <c r="GTD101" s="22"/>
      <c r="GTE101" s="22"/>
      <c r="GTF101" s="22"/>
      <c r="GTG101" s="22"/>
      <c r="GTH101" s="22"/>
      <c r="GTI101" s="22"/>
      <c r="GTJ101" s="22"/>
      <c r="GTK101" s="22"/>
      <c r="GTL101" s="22"/>
      <c r="GTM101" s="22"/>
      <c r="GTN101" s="22"/>
      <c r="GTO101" s="22"/>
      <c r="GTP101" s="22"/>
      <c r="GTQ101" s="22"/>
      <c r="GTR101" s="22"/>
      <c r="GTS101" s="22"/>
      <c r="GTT101" s="22"/>
      <c r="GTU101" s="22"/>
      <c r="GTV101" s="22"/>
      <c r="GTW101" s="22"/>
      <c r="GTX101" s="22"/>
      <c r="GTY101" s="22"/>
      <c r="GTZ101" s="22"/>
      <c r="GUA101" s="22"/>
      <c r="GUB101" s="22"/>
      <c r="GUC101" s="22"/>
      <c r="GUD101" s="22"/>
      <c r="GUE101" s="22"/>
      <c r="GUF101" s="22"/>
      <c r="GUG101" s="22"/>
      <c r="GUH101" s="22"/>
      <c r="GUI101" s="22"/>
      <c r="GUJ101" s="22"/>
      <c r="GUK101" s="22"/>
      <c r="GUL101" s="22"/>
      <c r="GUM101" s="22"/>
      <c r="GUN101" s="22"/>
      <c r="GUO101" s="22"/>
      <c r="GUP101" s="22"/>
      <c r="GUQ101" s="22"/>
      <c r="GUR101" s="22"/>
      <c r="GUS101" s="22"/>
      <c r="GUT101" s="22"/>
      <c r="GUU101" s="22"/>
      <c r="GUV101" s="22"/>
      <c r="GUW101" s="22"/>
      <c r="GUX101" s="22"/>
      <c r="GUY101" s="22"/>
      <c r="GUZ101" s="22"/>
      <c r="GVA101" s="22"/>
      <c r="GVB101" s="22"/>
      <c r="GVC101" s="22"/>
      <c r="GVD101" s="22"/>
      <c r="GVE101" s="22"/>
      <c r="GVF101" s="22"/>
      <c r="GVG101" s="22"/>
      <c r="GVH101" s="22"/>
      <c r="GVI101" s="22"/>
      <c r="GVJ101" s="22"/>
      <c r="GVK101" s="22"/>
      <c r="GVL101" s="22"/>
      <c r="GVM101" s="22"/>
      <c r="GVN101" s="22"/>
      <c r="GVO101" s="22"/>
      <c r="GVP101" s="22"/>
      <c r="GVQ101" s="22"/>
      <c r="GVR101" s="22"/>
      <c r="GVS101" s="22"/>
      <c r="GVT101" s="22"/>
      <c r="GVU101" s="22"/>
      <c r="GVV101" s="22"/>
      <c r="GVW101" s="22"/>
      <c r="GVX101" s="22"/>
      <c r="GVY101" s="22"/>
      <c r="GVZ101" s="22"/>
      <c r="GWA101" s="22"/>
      <c r="GWB101" s="22"/>
      <c r="GWC101" s="22"/>
      <c r="GWD101" s="22"/>
      <c r="GWE101" s="22"/>
      <c r="GWF101" s="22"/>
      <c r="GWG101" s="22"/>
      <c r="GWH101" s="22"/>
      <c r="GWI101" s="22"/>
      <c r="GWJ101" s="22"/>
      <c r="GWK101" s="22"/>
      <c r="GWL101" s="22"/>
      <c r="GWM101" s="22"/>
      <c r="GWN101" s="22"/>
      <c r="GWO101" s="22"/>
      <c r="GWP101" s="22"/>
      <c r="GWQ101" s="22"/>
      <c r="GWR101" s="22"/>
      <c r="GWS101" s="22"/>
      <c r="GWT101" s="22"/>
      <c r="GWU101" s="22"/>
      <c r="GWV101" s="22"/>
      <c r="GWW101" s="22"/>
      <c r="GWX101" s="22"/>
      <c r="GWY101" s="22"/>
      <c r="GWZ101" s="22"/>
      <c r="GXA101" s="22"/>
      <c r="GXB101" s="22"/>
      <c r="GXC101" s="22"/>
      <c r="GXD101" s="22"/>
      <c r="GXE101" s="22"/>
      <c r="GXF101" s="22"/>
      <c r="GXG101" s="22"/>
      <c r="GXH101" s="22"/>
      <c r="GXI101" s="22"/>
      <c r="GXJ101" s="22"/>
      <c r="GXK101" s="22"/>
      <c r="GXL101" s="22"/>
      <c r="GXM101" s="22"/>
      <c r="GXN101" s="22"/>
      <c r="GXO101" s="22"/>
      <c r="GXP101" s="22"/>
      <c r="GXQ101" s="22"/>
      <c r="GXR101" s="22"/>
      <c r="GXS101" s="22"/>
      <c r="GXT101" s="22"/>
      <c r="GXU101" s="22"/>
      <c r="GXV101" s="22"/>
      <c r="GXW101" s="22"/>
      <c r="GXX101" s="22"/>
      <c r="GXY101" s="22"/>
      <c r="GXZ101" s="22"/>
      <c r="GYA101" s="22"/>
      <c r="GYB101" s="22"/>
      <c r="GYC101" s="22"/>
      <c r="GYD101" s="22"/>
      <c r="GYE101" s="22"/>
      <c r="GYF101" s="22"/>
      <c r="GYG101" s="22"/>
      <c r="GYH101" s="22"/>
      <c r="GYI101" s="22"/>
      <c r="GYJ101" s="22"/>
      <c r="GYK101" s="22"/>
      <c r="GYL101" s="22"/>
      <c r="GYM101" s="22"/>
      <c r="GYN101" s="22"/>
      <c r="GYO101" s="22"/>
      <c r="GYP101" s="22"/>
      <c r="GYQ101" s="22"/>
      <c r="GYR101" s="22"/>
      <c r="GYS101" s="22"/>
      <c r="GYT101" s="22"/>
      <c r="GYU101" s="22"/>
      <c r="GYV101" s="22"/>
      <c r="GYW101" s="22"/>
      <c r="GYX101" s="22"/>
      <c r="GYY101" s="22"/>
      <c r="GYZ101" s="22"/>
      <c r="GZA101" s="22"/>
      <c r="GZB101" s="22"/>
      <c r="GZC101" s="22"/>
      <c r="GZD101" s="22"/>
      <c r="GZE101" s="22"/>
      <c r="GZF101" s="22"/>
      <c r="GZG101" s="22"/>
      <c r="GZH101" s="22"/>
      <c r="GZI101" s="22"/>
      <c r="GZJ101" s="22"/>
      <c r="GZK101" s="22"/>
      <c r="GZL101" s="22"/>
      <c r="GZM101" s="22"/>
      <c r="GZN101" s="22"/>
      <c r="GZO101" s="22"/>
      <c r="GZP101" s="22"/>
      <c r="GZQ101" s="22"/>
      <c r="GZR101" s="22"/>
      <c r="GZS101" s="22"/>
      <c r="GZT101" s="22"/>
      <c r="GZU101" s="22"/>
      <c r="GZV101" s="22"/>
      <c r="GZW101" s="22"/>
      <c r="GZX101" s="22"/>
      <c r="GZY101" s="22"/>
      <c r="GZZ101" s="22"/>
      <c r="HAA101" s="22"/>
      <c r="HAB101" s="22"/>
      <c r="HAC101" s="22"/>
      <c r="HAD101" s="22"/>
      <c r="HAE101" s="22"/>
      <c r="HAF101" s="22"/>
      <c r="HAG101" s="22"/>
      <c r="HAH101" s="22"/>
      <c r="HAI101" s="22"/>
      <c r="HAJ101" s="22"/>
      <c r="HAK101" s="22"/>
      <c r="HAL101" s="22"/>
      <c r="HAM101" s="22"/>
      <c r="HAN101" s="22"/>
      <c r="HAO101" s="22"/>
      <c r="HAP101" s="22"/>
      <c r="HAQ101" s="22"/>
      <c r="HAR101" s="22"/>
      <c r="HAS101" s="22"/>
      <c r="HAT101" s="22"/>
      <c r="HAU101" s="22"/>
      <c r="HAV101" s="22"/>
      <c r="HAW101" s="22"/>
      <c r="HAX101" s="22"/>
      <c r="HAY101" s="22"/>
      <c r="HAZ101" s="22"/>
      <c r="HBA101" s="22"/>
      <c r="HBB101" s="22"/>
      <c r="HBC101" s="22"/>
      <c r="HBD101" s="22"/>
      <c r="HBE101" s="22"/>
      <c r="HBF101" s="22"/>
      <c r="HBG101" s="22"/>
      <c r="HBH101" s="22"/>
      <c r="HBI101" s="22"/>
      <c r="HBJ101" s="22"/>
      <c r="HBK101" s="22"/>
      <c r="HBL101" s="22"/>
      <c r="HBM101" s="22"/>
      <c r="HBN101" s="22"/>
      <c r="HBO101" s="22"/>
      <c r="HBP101" s="22"/>
      <c r="HBQ101" s="22"/>
      <c r="HBR101" s="22"/>
      <c r="HBS101" s="22"/>
      <c r="HBT101" s="22"/>
      <c r="HBU101" s="22"/>
      <c r="HBV101" s="22"/>
      <c r="HBW101" s="22"/>
      <c r="HBX101" s="22"/>
      <c r="HBY101" s="22"/>
      <c r="HBZ101" s="22"/>
      <c r="HCA101" s="22"/>
      <c r="HCB101" s="22"/>
      <c r="HCC101" s="22"/>
      <c r="HCD101" s="22"/>
      <c r="HCE101" s="22"/>
      <c r="HCF101" s="22"/>
      <c r="HCG101" s="22"/>
      <c r="HCH101" s="22"/>
      <c r="HCI101" s="22"/>
      <c r="HCJ101" s="22"/>
      <c r="HCK101" s="22"/>
      <c r="HCL101" s="22"/>
      <c r="HCM101" s="22"/>
      <c r="HCN101" s="22"/>
      <c r="HCO101" s="22"/>
      <c r="HCP101" s="22"/>
      <c r="HCQ101" s="22"/>
      <c r="HCR101" s="22"/>
      <c r="HCS101" s="22"/>
      <c r="HCT101" s="22"/>
      <c r="HCU101" s="22"/>
      <c r="HCV101" s="22"/>
      <c r="HCW101" s="22"/>
      <c r="HCX101" s="22"/>
      <c r="HCY101" s="22"/>
      <c r="HCZ101" s="22"/>
      <c r="HDA101" s="22"/>
      <c r="HDB101" s="22"/>
      <c r="HDC101" s="22"/>
      <c r="HDD101" s="22"/>
      <c r="HDE101" s="22"/>
      <c r="HDF101" s="22"/>
      <c r="HDG101" s="22"/>
      <c r="HDH101" s="22"/>
      <c r="HDI101" s="22"/>
      <c r="HDJ101" s="22"/>
      <c r="HDK101" s="22"/>
      <c r="HDL101" s="22"/>
      <c r="HDM101" s="22"/>
      <c r="HDN101" s="22"/>
      <c r="HDO101" s="22"/>
      <c r="HDP101" s="22"/>
      <c r="HDQ101" s="22"/>
      <c r="HDR101" s="22"/>
      <c r="HDS101" s="22"/>
      <c r="HDT101" s="22"/>
      <c r="HDU101" s="22"/>
      <c r="HDV101" s="22"/>
      <c r="HDW101" s="22"/>
      <c r="HDX101" s="22"/>
      <c r="HDY101" s="22"/>
      <c r="HDZ101" s="22"/>
      <c r="HEA101" s="22"/>
      <c r="HEB101" s="22"/>
      <c r="HEC101" s="22"/>
      <c r="HED101" s="22"/>
      <c r="HEE101" s="22"/>
      <c r="HEF101" s="22"/>
      <c r="HEG101" s="22"/>
      <c r="HEH101" s="22"/>
      <c r="HEI101" s="22"/>
      <c r="HEJ101" s="22"/>
      <c r="HEK101" s="22"/>
      <c r="HEL101" s="22"/>
      <c r="HEM101" s="22"/>
      <c r="HEN101" s="22"/>
      <c r="HEO101" s="22"/>
      <c r="HEP101" s="22"/>
      <c r="HEQ101" s="22"/>
      <c r="HER101" s="22"/>
      <c r="HES101" s="22"/>
      <c r="HET101" s="22"/>
      <c r="HEU101" s="22"/>
      <c r="HEV101" s="22"/>
      <c r="HEW101" s="22"/>
      <c r="HEX101" s="22"/>
      <c r="HEY101" s="22"/>
      <c r="HEZ101" s="22"/>
      <c r="HFA101" s="22"/>
      <c r="HFB101" s="22"/>
      <c r="HFC101" s="22"/>
      <c r="HFD101" s="22"/>
      <c r="HFE101" s="22"/>
      <c r="HFF101" s="22"/>
      <c r="HFG101" s="22"/>
      <c r="HFH101" s="22"/>
      <c r="HFI101" s="22"/>
      <c r="HFJ101" s="22"/>
      <c r="HFK101" s="22"/>
      <c r="HFL101" s="22"/>
      <c r="HFM101" s="22"/>
      <c r="HFN101" s="22"/>
      <c r="HFO101" s="22"/>
      <c r="HFP101" s="22"/>
      <c r="HFQ101" s="22"/>
      <c r="HFR101" s="22"/>
      <c r="HFS101" s="22"/>
      <c r="HFT101" s="22"/>
      <c r="HFU101" s="22"/>
      <c r="HFV101" s="22"/>
      <c r="HFW101" s="22"/>
      <c r="HFX101" s="22"/>
      <c r="HFY101" s="22"/>
      <c r="HFZ101" s="22"/>
      <c r="HGA101" s="22"/>
      <c r="HGB101" s="22"/>
      <c r="HGC101" s="22"/>
      <c r="HGD101" s="22"/>
      <c r="HGE101" s="22"/>
      <c r="HGF101" s="22"/>
      <c r="HGG101" s="22"/>
      <c r="HGH101" s="22"/>
      <c r="HGI101" s="22"/>
      <c r="HGJ101" s="22"/>
      <c r="HGK101" s="22"/>
      <c r="HGL101" s="22"/>
      <c r="HGM101" s="22"/>
      <c r="HGN101" s="22"/>
      <c r="HGO101" s="22"/>
      <c r="HGP101" s="22"/>
      <c r="HGQ101" s="22"/>
      <c r="HGR101" s="22"/>
      <c r="HGS101" s="22"/>
      <c r="HGT101" s="22"/>
      <c r="HGU101" s="22"/>
      <c r="HGV101" s="22"/>
      <c r="HGW101" s="22"/>
      <c r="HGX101" s="22"/>
      <c r="HGY101" s="22"/>
      <c r="HGZ101" s="22"/>
      <c r="HHA101" s="22"/>
      <c r="HHB101" s="22"/>
      <c r="HHC101" s="22"/>
      <c r="HHD101" s="22"/>
      <c r="HHE101" s="22"/>
      <c r="HHF101" s="22"/>
      <c r="HHG101" s="22"/>
      <c r="HHH101" s="22"/>
      <c r="HHI101" s="22"/>
      <c r="HHJ101" s="22"/>
      <c r="HHK101" s="22"/>
      <c r="HHL101" s="22"/>
      <c r="HHM101" s="22"/>
      <c r="HHN101" s="22"/>
      <c r="HHO101" s="22"/>
      <c r="HHP101" s="22"/>
      <c r="HHQ101" s="22"/>
      <c r="HHR101" s="22"/>
      <c r="HHS101" s="22"/>
      <c r="HHT101" s="22"/>
      <c r="HHU101" s="22"/>
      <c r="HHV101" s="22"/>
      <c r="HHW101" s="22"/>
      <c r="HHX101" s="22"/>
      <c r="HHY101" s="22"/>
      <c r="HHZ101" s="22"/>
      <c r="HIA101" s="22"/>
      <c r="HIB101" s="22"/>
      <c r="HIC101" s="22"/>
      <c r="HID101" s="22"/>
      <c r="HIE101" s="22"/>
      <c r="HIF101" s="22"/>
      <c r="HIG101" s="22"/>
      <c r="HIH101" s="22"/>
      <c r="HII101" s="22"/>
      <c r="HIJ101" s="22"/>
      <c r="HIK101" s="22"/>
      <c r="HIL101" s="22"/>
      <c r="HIM101" s="22"/>
      <c r="HIN101" s="22"/>
      <c r="HIO101" s="22"/>
      <c r="HIP101" s="22"/>
      <c r="HIQ101" s="22"/>
      <c r="HIR101" s="22"/>
      <c r="HIS101" s="22"/>
      <c r="HIT101" s="22"/>
      <c r="HIU101" s="22"/>
      <c r="HIV101" s="22"/>
      <c r="HIW101" s="22"/>
      <c r="HIX101" s="22"/>
      <c r="HIY101" s="22"/>
      <c r="HIZ101" s="22"/>
      <c r="HJA101" s="22"/>
      <c r="HJB101" s="22"/>
      <c r="HJC101" s="22"/>
      <c r="HJD101" s="22"/>
      <c r="HJE101" s="22"/>
      <c r="HJF101" s="22"/>
      <c r="HJG101" s="22"/>
      <c r="HJH101" s="22"/>
      <c r="HJI101" s="22"/>
      <c r="HJJ101" s="22"/>
      <c r="HJK101" s="22"/>
      <c r="HJL101" s="22"/>
      <c r="HJM101" s="22"/>
      <c r="HJN101" s="22"/>
      <c r="HJO101" s="22"/>
      <c r="HJP101" s="22"/>
      <c r="HJQ101" s="22"/>
      <c r="HJR101" s="22"/>
      <c r="HJS101" s="22"/>
      <c r="HJT101" s="22"/>
      <c r="HJU101" s="22"/>
      <c r="HJV101" s="22"/>
      <c r="HJW101" s="22"/>
      <c r="HJX101" s="22"/>
      <c r="HJY101" s="22"/>
      <c r="HJZ101" s="22"/>
      <c r="HKA101" s="22"/>
      <c r="HKB101" s="22"/>
      <c r="HKC101" s="22"/>
      <c r="HKD101" s="22"/>
      <c r="HKE101" s="22"/>
      <c r="HKF101" s="22"/>
      <c r="HKG101" s="22"/>
      <c r="HKH101" s="22"/>
      <c r="HKI101" s="22"/>
      <c r="HKJ101" s="22"/>
      <c r="HKK101" s="22"/>
      <c r="HKL101" s="22"/>
      <c r="HKM101" s="22"/>
      <c r="HKN101" s="22"/>
      <c r="HKO101" s="22"/>
      <c r="HKP101" s="22"/>
      <c r="HKQ101" s="22"/>
      <c r="HKR101" s="22"/>
      <c r="HKS101" s="22"/>
      <c r="HKT101" s="22"/>
      <c r="HKU101" s="22"/>
      <c r="HKV101" s="22"/>
      <c r="HKW101" s="22"/>
      <c r="HKX101" s="22"/>
      <c r="HKY101" s="22"/>
      <c r="HKZ101" s="22"/>
      <c r="HLA101" s="22"/>
      <c r="HLB101" s="22"/>
      <c r="HLC101" s="22"/>
      <c r="HLD101" s="22"/>
      <c r="HLE101" s="22"/>
      <c r="HLF101" s="22"/>
      <c r="HLG101" s="22"/>
      <c r="HLH101" s="22"/>
      <c r="HLI101" s="22"/>
      <c r="HLJ101" s="22"/>
      <c r="HLK101" s="22"/>
      <c r="HLL101" s="22"/>
      <c r="HLM101" s="22"/>
      <c r="HLN101" s="22"/>
      <c r="HLO101" s="22"/>
      <c r="HLP101" s="22"/>
      <c r="HLQ101" s="22"/>
      <c r="HLR101" s="22"/>
      <c r="HLS101" s="22"/>
      <c r="HLT101" s="22"/>
      <c r="HLU101" s="22"/>
      <c r="HLV101" s="22"/>
      <c r="HLW101" s="22"/>
      <c r="HLX101" s="22"/>
      <c r="HLY101" s="22"/>
      <c r="HLZ101" s="22"/>
      <c r="HMA101" s="22"/>
      <c r="HMB101" s="22"/>
      <c r="HMC101" s="22"/>
      <c r="HMD101" s="22"/>
      <c r="HME101" s="22"/>
      <c r="HMF101" s="22"/>
      <c r="HMG101" s="22"/>
      <c r="HMH101" s="22"/>
      <c r="HMI101" s="22"/>
      <c r="HMJ101" s="22"/>
      <c r="HMK101" s="22"/>
      <c r="HML101" s="22"/>
      <c r="HMM101" s="22"/>
      <c r="HMN101" s="22"/>
      <c r="HMO101" s="22"/>
      <c r="HMP101" s="22"/>
      <c r="HMQ101" s="22"/>
      <c r="HMR101" s="22"/>
      <c r="HMS101" s="22"/>
      <c r="HMT101" s="22"/>
      <c r="HMU101" s="22"/>
      <c r="HMV101" s="22"/>
      <c r="HMW101" s="22"/>
      <c r="HMX101" s="22"/>
      <c r="HMY101" s="22"/>
      <c r="HMZ101" s="22"/>
      <c r="HNA101" s="22"/>
      <c r="HNB101" s="22"/>
      <c r="HNC101" s="22"/>
      <c r="HND101" s="22"/>
      <c r="HNE101" s="22"/>
      <c r="HNF101" s="22"/>
      <c r="HNG101" s="22"/>
      <c r="HNH101" s="22"/>
      <c r="HNI101" s="22"/>
      <c r="HNJ101" s="22"/>
      <c r="HNK101" s="22"/>
      <c r="HNL101" s="22"/>
      <c r="HNM101" s="22"/>
      <c r="HNN101" s="22"/>
      <c r="HNO101" s="22"/>
      <c r="HNP101" s="22"/>
      <c r="HNQ101" s="22"/>
      <c r="HNR101" s="22"/>
      <c r="HNS101" s="22"/>
      <c r="HNT101" s="22"/>
      <c r="HNU101" s="22"/>
      <c r="HNV101" s="22"/>
      <c r="HNW101" s="22"/>
      <c r="HNX101" s="22"/>
      <c r="HNY101" s="22"/>
      <c r="HNZ101" s="22"/>
      <c r="HOA101" s="22"/>
      <c r="HOB101" s="22"/>
      <c r="HOC101" s="22"/>
      <c r="HOD101" s="22"/>
      <c r="HOE101" s="22"/>
      <c r="HOF101" s="22"/>
      <c r="HOG101" s="22"/>
      <c r="HOH101" s="22"/>
      <c r="HOI101" s="22"/>
      <c r="HOJ101" s="22"/>
      <c r="HOK101" s="22"/>
      <c r="HOL101" s="22"/>
      <c r="HOM101" s="22"/>
      <c r="HON101" s="22"/>
      <c r="HOO101" s="22"/>
      <c r="HOP101" s="22"/>
      <c r="HOQ101" s="22"/>
      <c r="HOR101" s="22"/>
      <c r="HOS101" s="22"/>
      <c r="HOT101" s="22"/>
      <c r="HOU101" s="22"/>
      <c r="HOV101" s="22"/>
      <c r="HOW101" s="22"/>
      <c r="HOX101" s="22"/>
      <c r="HOY101" s="22"/>
      <c r="HOZ101" s="22"/>
      <c r="HPA101" s="22"/>
      <c r="HPB101" s="22"/>
      <c r="HPC101" s="22"/>
      <c r="HPD101" s="22"/>
      <c r="HPE101" s="22"/>
      <c r="HPF101" s="22"/>
      <c r="HPG101" s="22"/>
      <c r="HPH101" s="22"/>
      <c r="HPI101" s="22"/>
      <c r="HPJ101" s="22"/>
      <c r="HPK101" s="22"/>
      <c r="HPL101" s="22"/>
      <c r="HPM101" s="22"/>
      <c r="HPN101" s="22"/>
      <c r="HPO101" s="22"/>
      <c r="HPP101" s="22"/>
      <c r="HPQ101" s="22"/>
      <c r="HPR101" s="22"/>
      <c r="HPS101" s="22"/>
      <c r="HPT101" s="22"/>
      <c r="HPU101" s="22"/>
      <c r="HPV101" s="22"/>
      <c r="HPW101" s="22"/>
      <c r="HPX101" s="22"/>
      <c r="HPY101" s="22"/>
      <c r="HPZ101" s="22"/>
      <c r="HQA101" s="22"/>
      <c r="HQB101" s="22"/>
      <c r="HQC101" s="22"/>
      <c r="HQD101" s="22"/>
      <c r="HQE101" s="22"/>
      <c r="HQF101" s="22"/>
      <c r="HQG101" s="22"/>
      <c r="HQH101" s="22"/>
      <c r="HQI101" s="22"/>
      <c r="HQJ101" s="22"/>
      <c r="HQK101" s="22"/>
      <c r="HQL101" s="22"/>
      <c r="HQM101" s="22"/>
      <c r="HQN101" s="22"/>
      <c r="HQO101" s="22"/>
      <c r="HQP101" s="22"/>
      <c r="HQQ101" s="22"/>
      <c r="HQR101" s="22"/>
      <c r="HQS101" s="22"/>
      <c r="HQT101" s="22"/>
      <c r="HQU101" s="22"/>
      <c r="HQV101" s="22"/>
      <c r="HQW101" s="22"/>
      <c r="HQX101" s="22"/>
      <c r="HQY101" s="22"/>
      <c r="HQZ101" s="22"/>
      <c r="HRA101" s="22"/>
      <c r="HRB101" s="22"/>
      <c r="HRC101" s="22"/>
      <c r="HRD101" s="22"/>
      <c r="HRE101" s="22"/>
      <c r="HRF101" s="22"/>
      <c r="HRG101" s="22"/>
      <c r="HRH101" s="22"/>
      <c r="HRI101" s="22"/>
      <c r="HRJ101" s="22"/>
      <c r="HRK101" s="22"/>
      <c r="HRL101" s="22"/>
      <c r="HRM101" s="22"/>
      <c r="HRN101" s="22"/>
      <c r="HRO101" s="22"/>
      <c r="HRP101" s="22"/>
      <c r="HRQ101" s="22"/>
      <c r="HRR101" s="22"/>
      <c r="HRS101" s="22"/>
      <c r="HRT101" s="22"/>
      <c r="HRU101" s="22"/>
      <c r="HRV101" s="22"/>
      <c r="HRW101" s="22"/>
      <c r="HRX101" s="22"/>
      <c r="HRY101" s="22"/>
      <c r="HRZ101" s="22"/>
      <c r="HSA101" s="22"/>
      <c r="HSB101" s="22"/>
      <c r="HSC101" s="22"/>
      <c r="HSD101" s="22"/>
      <c r="HSE101" s="22"/>
      <c r="HSF101" s="22"/>
      <c r="HSG101" s="22"/>
      <c r="HSH101" s="22"/>
      <c r="HSI101" s="22"/>
      <c r="HSJ101" s="22"/>
      <c r="HSK101" s="22"/>
      <c r="HSL101" s="22"/>
      <c r="HSM101" s="22"/>
      <c r="HSN101" s="22"/>
      <c r="HSO101" s="22"/>
      <c r="HSP101" s="22"/>
      <c r="HSQ101" s="22"/>
      <c r="HSR101" s="22"/>
      <c r="HSS101" s="22"/>
      <c r="HST101" s="22"/>
      <c r="HSU101" s="22"/>
      <c r="HSV101" s="22"/>
      <c r="HSW101" s="22"/>
      <c r="HSX101" s="22"/>
      <c r="HSY101" s="22"/>
      <c r="HSZ101" s="22"/>
      <c r="HTA101" s="22"/>
      <c r="HTB101" s="22"/>
      <c r="HTC101" s="22"/>
      <c r="HTD101" s="22"/>
      <c r="HTE101" s="22"/>
      <c r="HTF101" s="22"/>
      <c r="HTG101" s="22"/>
      <c r="HTH101" s="22"/>
      <c r="HTI101" s="22"/>
      <c r="HTJ101" s="22"/>
      <c r="HTK101" s="22"/>
      <c r="HTL101" s="22"/>
      <c r="HTM101" s="22"/>
      <c r="HTN101" s="22"/>
      <c r="HTO101" s="22"/>
      <c r="HTP101" s="22"/>
      <c r="HTQ101" s="22"/>
      <c r="HTR101" s="22"/>
      <c r="HTS101" s="22"/>
      <c r="HTT101" s="22"/>
      <c r="HTU101" s="22"/>
      <c r="HTV101" s="22"/>
      <c r="HTW101" s="22"/>
      <c r="HTX101" s="22"/>
      <c r="HTY101" s="22"/>
      <c r="HTZ101" s="22"/>
      <c r="HUA101" s="22"/>
      <c r="HUB101" s="22"/>
      <c r="HUC101" s="22"/>
      <c r="HUD101" s="22"/>
      <c r="HUE101" s="22"/>
      <c r="HUF101" s="22"/>
      <c r="HUG101" s="22"/>
      <c r="HUH101" s="22"/>
      <c r="HUI101" s="22"/>
      <c r="HUJ101" s="22"/>
      <c r="HUK101" s="22"/>
      <c r="HUL101" s="22"/>
      <c r="HUM101" s="22"/>
      <c r="HUN101" s="22"/>
      <c r="HUO101" s="22"/>
      <c r="HUP101" s="22"/>
      <c r="HUQ101" s="22"/>
      <c r="HUR101" s="22"/>
      <c r="HUS101" s="22"/>
      <c r="HUT101" s="22"/>
      <c r="HUU101" s="22"/>
      <c r="HUV101" s="22"/>
      <c r="HUW101" s="22"/>
      <c r="HUX101" s="22"/>
      <c r="HUY101" s="22"/>
      <c r="HUZ101" s="22"/>
      <c r="HVA101" s="22"/>
      <c r="HVB101" s="22"/>
      <c r="HVC101" s="22"/>
      <c r="HVD101" s="22"/>
      <c r="HVE101" s="22"/>
      <c r="HVF101" s="22"/>
      <c r="HVG101" s="22"/>
      <c r="HVH101" s="22"/>
      <c r="HVI101" s="22"/>
      <c r="HVJ101" s="22"/>
      <c r="HVK101" s="22"/>
      <c r="HVL101" s="22"/>
      <c r="HVM101" s="22"/>
      <c r="HVN101" s="22"/>
      <c r="HVO101" s="22"/>
      <c r="HVP101" s="22"/>
      <c r="HVQ101" s="22"/>
      <c r="HVR101" s="22"/>
      <c r="HVS101" s="22"/>
      <c r="HVT101" s="22"/>
      <c r="HVU101" s="22"/>
      <c r="HVV101" s="22"/>
      <c r="HVW101" s="22"/>
      <c r="HVX101" s="22"/>
      <c r="HVY101" s="22"/>
      <c r="HVZ101" s="22"/>
      <c r="HWA101" s="22"/>
      <c r="HWB101" s="22"/>
      <c r="HWC101" s="22"/>
      <c r="HWD101" s="22"/>
      <c r="HWE101" s="22"/>
      <c r="HWF101" s="22"/>
      <c r="HWG101" s="22"/>
      <c r="HWH101" s="22"/>
      <c r="HWI101" s="22"/>
      <c r="HWJ101" s="22"/>
      <c r="HWK101" s="22"/>
      <c r="HWL101" s="22"/>
      <c r="HWM101" s="22"/>
      <c r="HWN101" s="22"/>
      <c r="HWO101" s="22"/>
      <c r="HWP101" s="22"/>
      <c r="HWQ101" s="22"/>
      <c r="HWR101" s="22"/>
      <c r="HWS101" s="22"/>
      <c r="HWT101" s="22"/>
      <c r="HWU101" s="22"/>
      <c r="HWV101" s="22"/>
      <c r="HWW101" s="22"/>
      <c r="HWX101" s="22"/>
      <c r="HWY101" s="22"/>
      <c r="HWZ101" s="22"/>
      <c r="HXA101" s="22"/>
      <c r="HXB101" s="22"/>
      <c r="HXC101" s="22"/>
      <c r="HXD101" s="22"/>
      <c r="HXE101" s="22"/>
      <c r="HXF101" s="22"/>
      <c r="HXG101" s="22"/>
      <c r="HXH101" s="22"/>
      <c r="HXI101" s="22"/>
      <c r="HXJ101" s="22"/>
      <c r="HXK101" s="22"/>
      <c r="HXL101" s="22"/>
      <c r="HXM101" s="22"/>
      <c r="HXN101" s="22"/>
      <c r="HXO101" s="22"/>
      <c r="HXP101" s="22"/>
      <c r="HXQ101" s="22"/>
      <c r="HXR101" s="22"/>
      <c r="HXS101" s="22"/>
      <c r="HXT101" s="22"/>
      <c r="HXU101" s="22"/>
      <c r="HXV101" s="22"/>
      <c r="HXW101" s="22"/>
      <c r="HXX101" s="22"/>
      <c r="HXY101" s="22"/>
      <c r="HXZ101" s="22"/>
      <c r="HYA101" s="22"/>
      <c r="HYB101" s="22"/>
      <c r="HYC101" s="22"/>
      <c r="HYD101" s="22"/>
      <c r="HYE101" s="22"/>
      <c r="HYF101" s="22"/>
      <c r="HYG101" s="22"/>
      <c r="HYH101" s="22"/>
      <c r="HYI101" s="22"/>
      <c r="HYJ101" s="22"/>
      <c r="HYK101" s="22"/>
      <c r="HYL101" s="22"/>
      <c r="HYM101" s="22"/>
      <c r="HYN101" s="22"/>
      <c r="HYO101" s="22"/>
      <c r="HYP101" s="22"/>
      <c r="HYQ101" s="22"/>
      <c r="HYR101" s="22"/>
      <c r="HYS101" s="22"/>
      <c r="HYT101" s="22"/>
      <c r="HYU101" s="22"/>
      <c r="HYV101" s="22"/>
      <c r="HYW101" s="22"/>
      <c r="HYX101" s="22"/>
      <c r="HYY101" s="22"/>
      <c r="HYZ101" s="22"/>
      <c r="HZA101" s="22"/>
      <c r="HZB101" s="22"/>
      <c r="HZC101" s="22"/>
      <c r="HZD101" s="22"/>
      <c r="HZE101" s="22"/>
      <c r="HZF101" s="22"/>
      <c r="HZG101" s="22"/>
      <c r="HZH101" s="22"/>
      <c r="HZI101" s="22"/>
      <c r="HZJ101" s="22"/>
      <c r="HZK101" s="22"/>
      <c r="HZL101" s="22"/>
      <c r="HZM101" s="22"/>
      <c r="HZN101" s="22"/>
      <c r="HZO101" s="22"/>
      <c r="HZP101" s="22"/>
      <c r="HZQ101" s="22"/>
      <c r="HZR101" s="22"/>
      <c r="HZS101" s="22"/>
      <c r="HZT101" s="22"/>
      <c r="HZU101" s="22"/>
      <c r="HZV101" s="22"/>
      <c r="HZW101" s="22"/>
      <c r="HZX101" s="22"/>
      <c r="HZY101" s="22"/>
      <c r="HZZ101" s="22"/>
      <c r="IAA101" s="22"/>
      <c r="IAB101" s="22"/>
      <c r="IAC101" s="22"/>
      <c r="IAD101" s="22"/>
      <c r="IAE101" s="22"/>
      <c r="IAF101" s="22"/>
      <c r="IAG101" s="22"/>
      <c r="IAH101" s="22"/>
      <c r="IAI101" s="22"/>
      <c r="IAJ101" s="22"/>
      <c r="IAK101" s="22"/>
      <c r="IAL101" s="22"/>
      <c r="IAM101" s="22"/>
      <c r="IAN101" s="22"/>
      <c r="IAO101" s="22"/>
      <c r="IAP101" s="22"/>
      <c r="IAQ101" s="22"/>
      <c r="IAR101" s="22"/>
      <c r="IAS101" s="22"/>
      <c r="IAT101" s="22"/>
      <c r="IAU101" s="22"/>
      <c r="IAV101" s="22"/>
      <c r="IAW101" s="22"/>
      <c r="IAX101" s="22"/>
      <c r="IAY101" s="22"/>
      <c r="IAZ101" s="22"/>
      <c r="IBA101" s="22"/>
      <c r="IBB101" s="22"/>
      <c r="IBC101" s="22"/>
      <c r="IBD101" s="22"/>
      <c r="IBE101" s="22"/>
      <c r="IBF101" s="22"/>
      <c r="IBG101" s="22"/>
      <c r="IBH101" s="22"/>
      <c r="IBI101" s="22"/>
      <c r="IBJ101" s="22"/>
      <c r="IBK101" s="22"/>
      <c r="IBL101" s="22"/>
      <c r="IBM101" s="22"/>
      <c r="IBN101" s="22"/>
      <c r="IBO101" s="22"/>
      <c r="IBP101" s="22"/>
      <c r="IBQ101" s="22"/>
      <c r="IBR101" s="22"/>
      <c r="IBS101" s="22"/>
      <c r="IBT101" s="22"/>
      <c r="IBU101" s="22"/>
      <c r="IBV101" s="22"/>
      <c r="IBW101" s="22"/>
      <c r="IBX101" s="22"/>
      <c r="IBY101" s="22"/>
      <c r="IBZ101" s="22"/>
      <c r="ICA101" s="22"/>
      <c r="ICB101" s="22"/>
      <c r="ICC101" s="22"/>
      <c r="ICD101" s="22"/>
      <c r="ICE101" s="22"/>
      <c r="ICF101" s="22"/>
      <c r="ICG101" s="22"/>
      <c r="ICH101" s="22"/>
      <c r="ICI101" s="22"/>
      <c r="ICJ101" s="22"/>
      <c r="ICK101" s="22"/>
      <c r="ICL101" s="22"/>
      <c r="ICM101" s="22"/>
      <c r="ICN101" s="22"/>
      <c r="ICO101" s="22"/>
      <c r="ICP101" s="22"/>
      <c r="ICQ101" s="22"/>
      <c r="ICR101" s="22"/>
      <c r="ICS101" s="22"/>
      <c r="ICT101" s="22"/>
      <c r="ICU101" s="22"/>
      <c r="ICV101" s="22"/>
      <c r="ICW101" s="22"/>
      <c r="ICX101" s="22"/>
      <c r="ICY101" s="22"/>
      <c r="ICZ101" s="22"/>
      <c r="IDA101" s="22"/>
      <c r="IDB101" s="22"/>
      <c r="IDC101" s="22"/>
      <c r="IDD101" s="22"/>
      <c r="IDE101" s="22"/>
      <c r="IDF101" s="22"/>
      <c r="IDG101" s="22"/>
      <c r="IDH101" s="22"/>
      <c r="IDI101" s="22"/>
      <c r="IDJ101" s="22"/>
      <c r="IDK101" s="22"/>
      <c r="IDL101" s="22"/>
      <c r="IDM101" s="22"/>
      <c r="IDN101" s="22"/>
      <c r="IDO101" s="22"/>
      <c r="IDP101" s="22"/>
      <c r="IDQ101" s="22"/>
      <c r="IDR101" s="22"/>
      <c r="IDS101" s="22"/>
      <c r="IDT101" s="22"/>
      <c r="IDU101" s="22"/>
      <c r="IDV101" s="22"/>
      <c r="IDW101" s="22"/>
      <c r="IDX101" s="22"/>
      <c r="IDY101" s="22"/>
      <c r="IDZ101" s="22"/>
      <c r="IEA101" s="22"/>
      <c r="IEB101" s="22"/>
      <c r="IEC101" s="22"/>
      <c r="IED101" s="22"/>
      <c r="IEE101" s="22"/>
      <c r="IEF101" s="22"/>
      <c r="IEG101" s="22"/>
      <c r="IEH101" s="22"/>
      <c r="IEI101" s="22"/>
      <c r="IEJ101" s="22"/>
      <c r="IEK101" s="22"/>
      <c r="IEL101" s="22"/>
      <c r="IEM101" s="22"/>
      <c r="IEN101" s="22"/>
      <c r="IEO101" s="22"/>
      <c r="IEP101" s="22"/>
      <c r="IEQ101" s="22"/>
      <c r="IER101" s="22"/>
      <c r="IES101" s="22"/>
      <c r="IET101" s="22"/>
      <c r="IEU101" s="22"/>
      <c r="IEV101" s="22"/>
      <c r="IEW101" s="22"/>
      <c r="IEX101" s="22"/>
      <c r="IEY101" s="22"/>
      <c r="IEZ101" s="22"/>
      <c r="IFA101" s="22"/>
      <c r="IFB101" s="22"/>
      <c r="IFC101" s="22"/>
      <c r="IFD101" s="22"/>
      <c r="IFE101" s="22"/>
      <c r="IFF101" s="22"/>
      <c r="IFG101" s="22"/>
      <c r="IFH101" s="22"/>
      <c r="IFI101" s="22"/>
      <c r="IFJ101" s="22"/>
      <c r="IFK101" s="22"/>
      <c r="IFL101" s="22"/>
      <c r="IFM101" s="22"/>
      <c r="IFN101" s="22"/>
      <c r="IFO101" s="22"/>
      <c r="IFP101" s="22"/>
      <c r="IFQ101" s="22"/>
      <c r="IFR101" s="22"/>
      <c r="IFS101" s="22"/>
      <c r="IFT101" s="22"/>
      <c r="IFU101" s="22"/>
      <c r="IFV101" s="22"/>
      <c r="IFW101" s="22"/>
      <c r="IFX101" s="22"/>
      <c r="IFY101" s="22"/>
      <c r="IFZ101" s="22"/>
      <c r="IGA101" s="22"/>
      <c r="IGB101" s="22"/>
      <c r="IGC101" s="22"/>
      <c r="IGD101" s="22"/>
      <c r="IGE101" s="22"/>
      <c r="IGF101" s="22"/>
      <c r="IGG101" s="22"/>
      <c r="IGH101" s="22"/>
      <c r="IGI101" s="22"/>
      <c r="IGJ101" s="22"/>
      <c r="IGK101" s="22"/>
      <c r="IGL101" s="22"/>
      <c r="IGM101" s="22"/>
      <c r="IGN101" s="22"/>
      <c r="IGO101" s="22"/>
      <c r="IGP101" s="22"/>
      <c r="IGQ101" s="22"/>
      <c r="IGR101" s="22"/>
      <c r="IGS101" s="22"/>
      <c r="IGT101" s="22"/>
      <c r="IGU101" s="22"/>
      <c r="IGV101" s="22"/>
      <c r="IGW101" s="22"/>
      <c r="IGX101" s="22"/>
      <c r="IGY101" s="22"/>
      <c r="IGZ101" s="22"/>
      <c r="IHA101" s="22"/>
      <c r="IHB101" s="22"/>
      <c r="IHC101" s="22"/>
      <c r="IHD101" s="22"/>
      <c r="IHE101" s="22"/>
      <c r="IHF101" s="22"/>
      <c r="IHG101" s="22"/>
      <c r="IHH101" s="22"/>
      <c r="IHI101" s="22"/>
      <c r="IHJ101" s="22"/>
      <c r="IHK101" s="22"/>
      <c r="IHL101" s="22"/>
      <c r="IHM101" s="22"/>
      <c r="IHN101" s="22"/>
      <c r="IHO101" s="22"/>
      <c r="IHP101" s="22"/>
      <c r="IHQ101" s="22"/>
      <c r="IHR101" s="22"/>
      <c r="IHS101" s="22"/>
      <c r="IHT101" s="22"/>
      <c r="IHU101" s="22"/>
      <c r="IHV101" s="22"/>
      <c r="IHW101" s="22"/>
      <c r="IHX101" s="22"/>
      <c r="IHY101" s="22"/>
      <c r="IHZ101" s="22"/>
      <c r="IIA101" s="22"/>
      <c r="IIB101" s="22"/>
      <c r="IIC101" s="22"/>
      <c r="IID101" s="22"/>
      <c r="IIE101" s="22"/>
      <c r="IIF101" s="22"/>
      <c r="IIG101" s="22"/>
      <c r="IIH101" s="22"/>
      <c r="III101" s="22"/>
      <c r="IIJ101" s="22"/>
      <c r="IIK101" s="22"/>
      <c r="IIL101" s="22"/>
      <c r="IIM101" s="22"/>
      <c r="IIN101" s="22"/>
      <c r="IIO101" s="22"/>
      <c r="IIP101" s="22"/>
      <c r="IIQ101" s="22"/>
      <c r="IIR101" s="22"/>
      <c r="IIS101" s="22"/>
      <c r="IIT101" s="22"/>
      <c r="IIU101" s="22"/>
      <c r="IIV101" s="22"/>
      <c r="IIW101" s="22"/>
      <c r="IIX101" s="22"/>
      <c r="IIY101" s="22"/>
      <c r="IIZ101" s="22"/>
      <c r="IJA101" s="22"/>
      <c r="IJB101" s="22"/>
      <c r="IJC101" s="22"/>
      <c r="IJD101" s="22"/>
      <c r="IJE101" s="22"/>
      <c r="IJF101" s="22"/>
      <c r="IJG101" s="22"/>
      <c r="IJH101" s="22"/>
      <c r="IJI101" s="22"/>
      <c r="IJJ101" s="22"/>
      <c r="IJK101" s="22"/>
      <c r="IJL101" s="22"/>
      <c r="IJM101" s="22"/>
      <c r="IJN101" s="22"/>
      <c r="IJO101" s="22"/>
      <c r="IJP101" s="22"/>
      <c r="IJQ101" s="22"/>
      <c r="IJR101" s="22"/>
      <c r="IJS101" s="22"/>
      <c r="IJT101" s="22"/>
      <c r="IJU101" s="22"/>
      <c r="IJV101" s="22"/>
      <c r="IJW101" s="22"/>
      <c r="IJX101" s="22"/>
      <c r="IJY101" s="22"/>
      <c r="IJZ101" s="22"/>
      <c r="IKA101" s="22"/>
      <c r="IKB101" s="22"/>
      <c r="IKC101" s="22"/>
      <c r="IKD101" s="22"/>
      <c r="IKE101" s="22"/>
      <c r="IKF101" s="22"/>
      <c r="IKG101" s="22"/>
      <c r="IKH101" s="22"/>
      <c r="IKI101" s="22"/>
      <c r="IKJ101" s="22"/>
      <c r="IKK101" s="22"/>
      <c r="IKL101" s="22"/>
      <c r="IKM101" s="22"/>
      <c r="IKN101" s="22"/>
      <c r="IKO101" s="22"/>
      <c r="IKP101" s="22"/>
      <c r="IKQ101" s="22"/>
      <c r="IKR101" s="22"/>
      <c r="IKS101" s="22"/>
      <c r="IKT101" s="22"/>
      <c r="IKU101" s="22"/>
      <c r="IKV101" s="22"/>
      <c r="IKW101" s="22"/>
      <c r="IKX101" s="22"/>
      <c r="IKY101" s="22"/>
      <c r="IKZ101" s="22"/>
      <c r="ILA101" s="22"/>
      <c r="ILB101" s="22"/>
      <c r="ILC101" s="22"/>
      <c r="ILD101" s="22"/>
      <c r="ILE101" s="22"/>
      <c r="ILF101" s="22"/>
      <c r="ILG101" s="22"/>
      <c r="ILH101" s="22"/>
      <c r="ILI101" s="22"/>
      <c r="ILJ101" s="22"/>
      <c r="ILK101" s="22"/>
      <c r="ILL101" s="22"/>
      <c r="ILM101" s="22"/>
      <c r="ILN101" s="22"/>
      <c r="ILO101" s="22"/>
      <c r="ILP101" s="22"/>
      <c r="ILQ101" s="22"/>
      <c r="ILR101" s="22"/>
      <c r="ILS101" s="22"/>
      <c r="ILT101" s="22"/>
      <c r="ILU101" s="22"/>
      <c r="ILV101" s="22"/>
      <c r="ILW101" s="22"/>
      <c r="ILX101" s="22"/>
      <c r="ILY101" s="22"/>
      <c r="ILZ101" s="22"/>
      <c r="IMA101" s="22"/>
      <c r="IMB101" s="22"/>
      <c r="IMC101" s="22"/>
      <c r="IMD101" s="22"/>
      <c r="IME101" s="22"/>
      <c r="IMF101" s="22"/>
      <c r="IMG101" s="22"/>
      <c r="IMH101" s="22"/>
      <c r="IMI101" s="22"/>
      <c r="IMJ101" s="22"/>
      <c r="IMK101" s="22"/>
      <c r="IML101" s="22"/>
      <c r="IMM101" s="22"/>
      <c r="IMN101" s="22"/>
      <c r="IMO101" s="22"/>
      <c r="IMP101" s="22"/>
      <c r="IMQ101" s="22"/>
      <c r="IMR101" s="22"/>
      <c r="IMS101" s="22"/>
      <c r="IMT101" s="22"/>
      <c r="IMU101" s="22"/>
      <c r="IMV101" s="22"/>
      <c r="IMW101" s="22"/>
      <c r="IMX101" s="22"/>
      <c r="IMY101" s="22"/>
      <c r="IMZ101" s="22"/>
      <c r="INA101" s="22"/>
      <c r="INB101" s="22"/>
      <c r="INC101" s="22"/>
      <c r="IND101" s="22"/>
      <c r="INE101" s="22"/>
      <c r="INF101" s="22"/>
      <c r="ING101" s="22"/>
      <c r="INH101" s="22"/>
      <c r="INI101" s="22"/>
      <c r="INJ101" s="22"/>
      <c r="INK101" s="22"/>
      <c r="INL101" s="22"/>
      <c r="INM101" s="22"/>
      <c r="INN101" s="22"/>
      <c r="INO101" s="22"/>
      <c r="INP101" s="22"/>
      <c r="INQ101" s="22"/>
      <c r="INR101" s="22"/>
      <c r="INS101" s="22"/>
      <c r="INT101" s="22"/>
      <c r="INU101" s="22"/>
      <c r="INV101" s="22"/>
      <c r="INW101" s="22"/>
      <c r="INX101" s="22"/>
      <c r="INY101" s="22"/>
      <c r="INZ101" s="22"/>
      <c r="IOA101" s="22"/>
      <c r="IOB101" s="22"/>
      <c r="IOC101" s="22"/>
      <c r="IOD101" s="22"/>
      <c r="IOE101" s="22"/>
      <c r="IOF101" s="22"/>
      <c r="IOG101" s="22"/>
      <c r="IOH101" s="22"/>
      <c r="IOI101" s="22"/>
      <c r="IOJ101" s="22"/>
      <c r="IOK101" s="22"/>
      <c r="IOL101" s="22"/>
      <c r="IOM101" s="22"/>
      <c r="ION101" s="22"/>
      <c r="IOO101" s="22"/>
      <c r="IOP101" s="22"/>
      <c r="IOQ101" s="22"/>
      <c r="IOR101" s="22"/>
      <c r="IOS101" s="22"/>
      <c r="IOT101" s="22"/>
      <c r="IOU101" s="22"/>
      <c r="IOV101" s="22"/>
      <c r="IOW101" s="22"/>
      <c r="IOX101" s="22"/>
      <c r="IOY101" s="22"/>
      <c r="IOZ101" s="22"/>
      <c r="IPA101" s="22"/>
      <c r="IPB101" s="22"/>
      <c r="IPC101" s="22"/>
      <c r="IPD101" s="22"/>
      <c r="IPE101" s="22"/>
      <c r="IPF101" s="22"/>
      <c r="IPG101" s="22"/>
      <c r="IPH101" s="22"/>
      <c r="IPI101" s="22"/>
      <c r="IPJ101" s="22"/>
      <c r="IPK101" s="22"/>
      <c r="IPL101" s="22"/>
      <c r="IPM101" s="22"/>
      <c r="IPN101" s="22"/>
      <c r="IPO101" s="22"/>
      <c r="IPP101" s="22"/>
      <c r="IPQ101" s="22"/>
      <c r="IPR101" s="22"/>
      <c r="IPS101" s="22"/>
      <c r="IPT101" s="22"/>
      <c r="IPU101" s="22"/>
      <c r="IPV101" s="22"/>
      <c r="IPW101" s="22"/>
      <c r="IPX101" s="22"/>
      <c r="IPY101" s="22"/>
      <c r="IPZ101" s="22"/>
      <c r="IQA101" s="22"/>
      <c r="IQB101" s="22"/>
      <c r="IQC101" s="22"/>
      <c r="IQD101" s="22"/>
      <c r="IQE101" s="22"/>
      <c r="IQF101" s="22"/>
      <c r="IQG101" s="22"/>
      <c r="IQH101" s="22"/>
      <c r="IQI101" s="22"/>
      <c r="IQJ101" s="22"/>
      <c r="IQK101" s="22"/>
      <c r="IQL101" s="22"/>
      <c r="IQM101" s="22"/>
      <c r="IQN101" s="22"/>
      <c r="IQO101" s="22"/>
      <c r="IQP101" s="22"/>
      <c r="IQQ101" s="22"/>
      <c r="IQR101" s="22"/>
      <c r="IQS101" s="22"/>
      <c r="IQT101" s="22"/>
      <c r="IQU101" s="22"/>
      <c r="IQV101" s="22"/>
      <c r="IQW101" s="22"/>
      <c r="IQX101" s="22"/>
      <c r="IQY101" s="22"/>
      <c r="IQZ101" s="22"/>
      <c r="IRA101" s="22"/>
      <c r="IRB101" s="22"/>
      <c r="IRC101" s="22"/>
      <c r="IRD101" s="22"/>
      <c r="IRE101" s="22"/>
      <c r="IRF101" s="22"/>
      <c r="IRG101" s="22"/>
      <c r="IRH101" s="22"/>
      <c r="IRI101" s="22"/>
      <c r="IRJ101" s="22"/>
      <c r="IRK101" s="22"/>
      <c r="IRL101" s="22"/>
      <c r="IRM101" s="22"/>
      <c r="IRN101" s="22"/>
      <c r="IRO101" s="22"/>
      <c r="IRP101" s="22"/>
      <c r="IRQ101" s="22"/>
      <c r="IRR101" s="22"/>
      <c r="IRS101" s="22"/>
      <c r="IRT101" s="22"/>
      <c r="IRU101" s="22"/>
      <c r="IRV101" s="22"/>
      <c r="IRW101" s="22"/>
      <c r="IRX101" s="22"/>
      <c r="IRY101" s="22"/>
      <c r="IRZ101" s="22"/>
      <c r="ISA101" s="22"/>
      <c r="ISB101" s="22"/>
      <c r="ISC101" s="22"/>
      <c r="ISD101" s="22"/>
      <c r="ISE101" s="22"/>
      <c r="ISF101" s="22"/>
      <c r="ISG101" s="22"/>
      <c r="ISH101" s="22"/>
      <c r="ISI101" s="22"/>
      <c r="ISJ101" s="22"/>
      <c r="ISK101" s="22"/>
      <c r="ISL101" s="22"/>
      <c r="ISM101" s="22"/>
      <c r="ISN101" s="22"/>
      <c r="ISO101" s="22"/>
      <c r="ISP101" s="22"/>
      <c r="ISQ101" s="22"/>
      <c r="ISR101" s="22"/>
      <c r="ISS101" s="22"/>
      <c r="IST101" s="22"/>
      <c r="ISU101" s="22"/>
      <c r="ISV101" s="22"/>
      <c r="ISW101" s="22"/>
      <c r="ISX101" s="22"/>
      <c r="ISY101" s="22"/>
      <c r="ISZ101" s="22"/>
      <c r="ITA101" s="22"/>
      <c r="ITB101" s="22"/>
      <c r="ITC101" s="22"/>
      <c r="ITD101" s="22"/>
      <c r="ITE101" s="22"/>
      <c r="ITF101" s="22"/>
      <c r="ITG101" s="22"/>
      <c r="ITH101" s="22"/>
      <c r="ITI101" s="22"/>
      <c r="ITJ101" s="22"/>
      <c r="ITK101" s="22"/>
      <c r="ITL101" s="22"/>
      <c r="ITM101" s="22"/>
      <c r="ITN101" s="22"/>
      <c r="ITO101" s="22"/>
      <c r="ITP101" s="22"/>
      <c r="ITQ101" s="22"/>
      <c r="ITR101" s="22"/>
      <c r="ITS101" s="22"/>
      <c r="ITT101" s="22"/>
      <c r="ITU101" s="22"/>
      <c r="ITV101" s="22"/>
      <c r="ITW101" s="22"/>
      <c r="ITX101" s="22"/>
      <c r="ITY101" s="22"/>
      <c r="ITZ101" s="22"/>
      <c r="IUA101" s="22"/>
      <c r="IUB101" s="22"/>
      <c r="IUC101" s="22"/>
      <c r="IUD101" s="22"/>
      <c r="IUE101" s="22"/>
      <c r="IUF101" s="22"/>
      <c r="IUG101" s="22"/>
      <c r="IUH101" s="22"/>
      <c r="IUI101" s="22"/>
      <c r="IUJ101" s="22"/>
      <c r="IUK101" s="22"/>
      <c r="IUL101" s="22"/>
      <c r="IUM101" s="22"/>
      <c r="IUN101" s="22"/>
      <c r="IUO101" s="22"/>
      <c r="IUP101" s="22"/>
      <c r="IUQ101" s="22"/>
      <c r="IUR101" s="22"/>
      <c r="IUS101" s="22"/>
      <c r="IUT101" s="22"/>
      <c r="IUU101" s="22"/>
      <c r="IUV101" s="22"/>
      <c r="IUW101" s="22"/>
      <c r="IUX101" s="22"/>
      <c r="IUY101" s="22"/>
      <c r="IUZ101" s="22"/>
      <c r="IVA101" s="22"/>
      <c r="IVB101" s="22"/>
      <c r="IVC101" s="22"/>
      <c r="IVD101" s="22"/>
      <c r="IVE101" s="22"/>
      <c r="IVF101" s="22"/>
      <c r="IVG101" s="22"/>
      <c r="IVH101" s="22"/>
      <c r="IVI101" s="22"/>
      <c r="IVJ101" s="22"/>
      <c r="IVK101" s="22"/>
      <c r="IVL101" s="22"/>
      <c r="IVM101" s="22"/>
      <c r="IVN101" s="22"/>
      <c r="IVO101" s="22"/>
      <c r="IVP101" s="22"/>
      <c r="IVQ101" s="22"/>
      <c r="IVR101" s="22"/>
      <c r="IVS101" s="22"/>
      <c r="IVT101" s="22"/>
      <c r="IVU101" s="22"/>
      <c r="IVV101" s="22"/>
      <c r="IVW101" s="22"/>
      <c r="IVX101" s="22"/>
      <c r="IVY101" s="22"/>
      <c r="IVZ101" s="22"/>
      <c r="IWA101" s="22"/>
      <c r="IWB101" s="22"/>
      <c r="IWC101" s="22"/>
      <c r="IWD101" s="22"/>
      <c r="IWE101" s="22"/>
      <c r="IWF101" s="22"/>
      <c r="IWG101" s="22"/>
      <c r="IWH101" s="22"/>
      <c r="IWI101" s="22"/>
      <c r="IWJ101" s="22"/>
      <c r="IWK101" s="22"/>
      <c r="IWL101" s="22"/>
      <c r="IWM101" s="22"/>
      <c r="IWN101" s="22"/>
      <c r="IWO101" s="22"/>
      <c r="IWP101" s="22"/>
      <c r="IWQ101" s="22"/>
      <c r="IWR101" s="22"/>
      <c r="IWS101" s="22"/>
      <c r="IWT101" s="22"/>
      <c r="IWU101" s="22"/>
      <c r="IWV101" s="22"/>
      <c r="IWW101" s="22"/>
      <c r="IWX101" s="22"/>
      <c r="IWY101" s="22"/>
      <c r="IWZ101" s="22"/>
      <c r="IXA101" s="22"/>
      <c r="IXB101" s="22"/>
      <c r="IXC101" s="22"/>
      <c r="IXD101" s="22"/>
      <c r="IXE101" s="22"/>
      <c r="IXF101" s="22"/>
      <c r="IXG101" s="22"/>
      <c r="IXH101" s="22"/>
      <c r="IXI101" s="22"/>
      <c r="IXJ101" s="22"/>
      <c r="IXK101" s="22"/>
      <c r="IXL101" s="22"/>
      <c r="IXM101" s="22"/>
      <c r="IXN101" s="22"/>
      <c r="IXO101" s="22"/>
      <c r="IXP101" s="22"/>
      <c r="IXQ101" s="22"/>
      <c r="IXR101" s="22"/>
      <c r="IXS101" s="22"/>
      <c r="IXT101" s="22"/>
      <c r="IXU101" s="22"/>
      <c r="IXV101" s="22"/>
      <c r="IXW101" s="22"/>
      <c r="IXX101" s="22"/>
      <c r="IXY101" s="22"/>
      <c r="IXZ101" s="22"/>
      <c r="IYA101" s="22"/>
      <c r="IYB101" s="22"/>
      <c r="IYC101" s="22"/>
      <c r="IYD101" s="22"/>
      <c r="IYE101" s="22"/>
      <c r="IYF101" s="22"/>
      <c r="IYG101" s="22"/>
      <c r="IYH101" s="22"/>
      <c r="IYI101" s="22"/>
      <c r="IYJ101" s="22"/>
      <c r="IYK101" s="22"/>
      <c r="IYL101" s="22"/>
      <c r="IYM101" s="22"/>
      <c r="IYN101" s="22"/>
      <c r="IYO101" s="22"/>
      <c r="IYP101" s="22"/>
      <c r="IYQ101" s="22"/>
      <c r="IYR101" s="22"/>
      <c r="IYS101" s="22"/>
      <c r="IYT101" s="22"/>
      <c r="IYU101" s="22"/>
      <c r="IYV101" s="22"/>
      <c r="IYW101" s="22"/>
      <c r="IYX101" s="22"/>
      <c r="IYY101" s="22"/>
      <c r="IYZ101" s="22"/>
      <c r="IZA101" s="22"/>
      <c r="IZB101" s="22"/>
      <c r="IZC101" s="22"/>
      <c r="IZD101" s="22"/>
      <c r="IZE101" s="22"/>
      <c r="IZF101" s="22"/>
      <c r="IZG101" s="22"/>
      <c r="IZH101" s="22"/>
      <c r="IZI101" s="22"/>
      <c r="IZJ101" s="22"/>
      <c r="IZK101" s="22"/>
      <c r="IZL101" s="22"/>
      <c r="IZM101" s="22"/>
      <c r="IZN101" s="22"/>
      <c r="IZO101" s="22"/>
      <c r="IZP101" s="22"/>
      <c r="IZQ101" s="22"/>
      <c r="IZR101" s="22"/>
      <c r="IZS101" s="22"/>
      <c r="IZT101" s="22"/>
      <c r="IZU101" s="22"/>
      <c r="IZV101" s="22"/>
      <c r="IZW101" s="22"/>
      <c r="IZX101" s="22"/>
      <c r="IZY101" s="22"/>
      <c r="IZZ101" s="22"/>
      <c r="JAA101" s="22"/>
      <c r="JAB101" s="22"/>
      <c r="JAC101" s="22"/>
      <c r="JAD101" s="22"/>
      <c r="JAE101" s="22"/>
      <c r="JAF101" s="22"/>
      <c r="JAG101" s="22"/>
      <c r="JAH101" s="22"/>
      <c r="JAI101" s="22"/>
      <c r="JAJ101" s="22"/>
      <c r="JAK101" s="22"/>
      <c r="JAL101" s="22"/>
      <c r="JAM101" s="22"/>
      <c r="JAN101" s="22"/>
      <c r="JAO101" s="22"/>
      <c r="JAP101" s="22"/>
      <c r="JAQ101" s="22"/>
      <c r="JAR101" s="22"/>
      <c r="JAS101" s="22"/>
      <c r="JAT101" s="22"/>
      <c r="JAU101" s="22"/>
      <c r="JAV101" s="22"/>
      <c r="JAW101" s="22"/>
      <c r="JAX101" s="22"/>
      <c r="JAY101" s="22"/>
      <c r="JAZ101" s="22"/>
      <c r="JBA101" s="22"/>
      <c r="JBB101" s="22"/>
      <c r="JBC101" s="22"/>
      <c r="JBD101" s="22"/>
      <c r="JBE101" s="22"/>
      <c r="JBF101" s="22"/>
      <c r="JBG101" s="22"/>
      <c r="JBH101" s="22"/>
      <c r="JBI101" s="22"/>
      <c r="JBJ101" s="22"/>
      <c r="JBK101" s="22"/>
      <c r="JBL101" s="22"/>
      <c r="JBM101" s="22"/>
      <c r="JBN101" s="22"/>
      <c r="JBO101" s="22"/>
      <c r="JBP101" s="22"/>
      <c r="JBQ101" s="22"/>
      <c r="JBR101" s="22"/>
      <c r="JBS101" s="22"/>
      <c r="JBT101" s="22"/>
      <c r="JBU101" s="22"/>
      <c r="JBV101" s="22"/>
      <c r="JBW101" s="22"/>
      <c r="JBX101" s="22"/>
      <c r="JBY101" s="22"/>
      <c r="JBZ101" s="22"/>
      <c r="JCA101" s="22"/>
      <c r="JCB101" s="22"/>
      <c r="JCC101" s="22"/>
      <c r="JCD101" s="22"/>
      <c r="JCE101" s="22"/>
      <c r="JCF101" s="22"/>
      <c r="JCG101" s="22"/>
      <c r="JCH101" s="22"/>
      <c r="JCI101" s="22"/>
      <c r="JCJ101" s="22"/>
      <c r="JCK101" s="22"/>
      <c r="JCL101" s="22"/>
      <c r="JCM101" s="22"/>
      <c r="JCN101" s="22"/>
      <c r="JCO101" s="22"/>
      <c r="JCP101" s="22"/>
      <c r="JCQ101" s="22"/>
      <c r="JCR101" s="22"/>
      <c r="JCS101" s="22"/>
      <c r="JCT101" s="22"/>
      <c r="JCU101" s="22"/>
      <c r="JCV101" s="22"/>
      <c r="JCW101" s="22"/>
      <c r="JCX101" s="22"/>
      <c r="JCY101" s="22"/>
      <c r="JCZ101" s="22"/>
      <c r="JDA101" s="22"/>
      <c r="JDB101" s="22"/>
      <c r="JDC101" s="22"/>
      <c r="JDD101" s="22"/>
      <c r="JDE101" s="22"/>
      <c r="JDF101" s="22"/>
      <c r="JDG101" s="22"/>
      <c r="JDH101" s="22"/>
      <c r="JDI101" s="22"/>
      <c r="JDJ101" s="22"/>
      <c r="JDK101" s="22"/>
      <c r="JDL101" s="22"/>
      <c r="JDM101" s="22"/>
      <c r="JDN101" s="22"/>
      <c r="JDO101" s="22"/>
      <c r="JDP101" s="22"/>
      <c r="JDQ101" s="22"/>
      <c r="JDR101" s="22"/>
      <c r="JDS101" s="22"/>
      <c r="JDT101" s="22"/>
      <c r="JDU101" s="22"/>
      <c r="JDV101" s="22"/>
      <c r="JDW101" s="22"/>
      <c r="JDX101" s="22"/>
      <c r="JDY101" s="22"/>
      <c r="JDZ101" s="22"/>
      <c r="JEA101" s="22"/>
      <c r="JEB101" s="22"/>
      <c r="JEC101" s="22"/>
      <c r="JED101" s="22"/>
      <c r="JEE101" s="22"/>
      <c r="JEF101" s="22"/>
      <c r="JEG101" s="22"/>
      <c r="JEH101" s="22"/>
      <c r="JEI101" s="22"/>
      <c r="JEJ101" s="22"/>
      <c r="JEK101" s="22"/>
      <c r="JEL101" s="22"/>
      <c r="JEM101" s="22"/>
      <c r="JEN101" s="22"/>
      <c r="JEO101" s="22"/>
      <c r="JEP101" s="22"/>
      <c r="JEQ101" s="22"/>
      <c r="JER101" s="22"/>
      <c r="JES101" s="22"/>
      <c r="JET101" s="22"/>
      <c r="JEU101" s="22"/>
      <c r="JEV101" s="22"/>
      <c r="JEW101" s="22"/>
      <c r="JEX101" s="22"/>
      <c r="JEY101" s="22"/>
      <c r="JEZ101" s="22"/>
      <c r="JFA101" s="22"/>
      <c r="JFB101" s="22"/>
      <c r="JFC101" s="22"/>
      <c r="JFD101" s="22"/>
      <c r="JFE101" s="22"/>
      <c r="JFF101" s="22"/>
      <c r="JFG101" s="22"/>
      <c r="JFH101" s="22"/>
      <c r="JFI101" s="22"/>
      <c r="JFJ101" s="22"/>
      <c r="JFK101" s="22"/>
      <c r="JFL101" s="22"/>
      <c r="JFM101" s="22"/>
      <c r="JFN101" s="22"/>
      <c r="JFO101" s="22"/>
      <c r="JFP101" s="22"/>
      <c r="JFQ101" s="22"/>
      <c r="JFR101" s="22"/>
      <c r="JFS101" s="22"/>
      <c r="JFT101" s="22"/>
      <c r="JFU101" s="22"/>
      <c r="JFV101" s="22"/>
      <c r="JFW101" s="22"/>
      <c r="JFX101" s="22"/>
      <c r="JFY101" s="22"/>
      <c r="JFZ101" s="22"/>
      <c r="JGA101" s="22"/>
      <c r="JGB101" s="22"/>
      <c r="JGC101" s="22"/>
      <c r="JGD101" s="22"/>
      <c r="JGE101" s="22"/>
      <c r="JGF101" s="22"/>
      <c r="JGG101" s="22"/>
      <c r="JGH101" s="22"/>
      <c r="JGI101" s="22"/>
      <c r="JGJ101" s="22"/>
      <c r="JGK101" s="22"/>
      <c r="JGL101" s="22"/>
      <c r="JGM101" s="22"/>
      <c r="JGN101" s="22"/>
      <c r="JGO101" s="22"/>
      <c r="JGP101" s="22"/>
      <c r="JGQ101" s="22"/>
      <c r="JGR101" s="22"/>
      <c r="JGS101" s="22"/>
      <c r="JGT101" s="22"/>
      <c r="JGU101" s="22"/>
      <c r="JGV101" s="22"/>
      <c r="JGW101" s="22"/>
      <c r="JGX101" s="22"/>
      <c r="JGY101" s="22"/>
      <c r="JGZ101" s="22"/>
      <c r="JHA101" s="22"/>
      <c r="JHB101" s="22"/>
      <c r="JHC101" s="22"/>
      <c r="JHD101" s="22"/>
      <c r="JHE101" s="22"/>
      <c r="JHF101" s="22"/>
      <c r="JHG101" s="22"/>
      <c r="JHH101" s="22"/>
      <c r="JHI101" s="22"/>
      <c r="JHJ101" s="22"/>
      <c r="JHK101" s="22"/>
      <c r="JHL101" s="22"/>
      <c r="JHM101" s="22"/>
      <c r="JHN101" s="22"/>
      <c r="JHO101" s="22"/>
      <c r="JHP101" s="22"/>
      <c r="JHQ101" s="22"/>
      <c r="JHR101" s="22"/>
      <c r="JHS101" s="22"/>
      <c r="JHT101" s="22"/>
      <c r="JHU101" s="22"/>
      <c r="JHV101" s="22"/>
      <c r="JHW101" s="22"/>
      <c r="JHX101" s="22"/>
      <c r="JHY101" s="22"/>
      <c r="JHZ101" s="22"/>
      <c r="JIA101" s="22"/>
      <c r="JIB101" s="22"/>
      <c r="JIC101" s="22"/>
      <c r="JID101" s="22"/>
      <c r="JIE101" s="22"/>
      <c r="JIF101" s="22"/>
      <c r="JIG101" s="22"/>
      <c r="JIH101" s="22"/>
      <c r="JII101" s="22"/>
      <c r="JIJ101" s="22"/>
      <c r="JIK101" s="22"/>
      <c r="JIL101" s="22"/>
      <c r="JIM101" s="22"/>
      <c r="JIN101" s="22"/>
      <c r="JIO101" s="22"/>
      <c r="JIP101" s="22"/>
      <c r="JIQ101" s="22"/>
      <c r="JIR101" s="22"/>
      <c r="JIS101" s="22"/>
      <c r="JIT101" s="22"/>
      <c r="JIU101" s="22"/>
      <c r="JIV101" s="22"/>
      <c r="JIW101" s="22"/>
      <c r="JIX101" s="22"/>
      <c r="JIY101" s="22"/>
      <c r="JIZ101" s="22"/>
      <c r="JJA101" s="22"/>
      <c r="JJB101" s="22"/>
      <c r="JJC101" s="22"/>
      <c r="JJD101" s="22"/>
      <c r="JJE101" s="22"/>
      <c r="JJF101" s="22"/>
      <c r="JJG101" s="22"/>
      <c r="JJH101" s="22"/>
      <c r="JJI101" s="22"/>
      <c r="JJJ101" s="22"/>
      <c r="JJK101" s="22"/>
      <c r="JJL101" s="22"/>
      <c r="JJM101" s="22"/>
      <c r="JJN101" s="22"/>
      <c r="JJO101" s="22"/>
      <c r="JJP101" s="22"/>
      <c r="JJQ101" s="22"/>
      <c r="JJR101" s="22"/>
      <c r="JJS101" s="22"/>
      <c r="JJT101" s="22"/>
      <c r="JJU101" s="22"/>
      <c r="JJV101" s="22"/>
      <c r="JJW101" s="22"/>
      <c r="JJX101" s="22"/>
      <c r="JJY101" s="22"/>
      <c r="JJZ101" s="22"/>
      <c r="JKA101" s="22"/>
      <c r="JKB101" s="22"/>
      <c r="JKC101" s="22"/>
      <c r="JKD101" s="22"/>
      <c r="JKE101" s="22"/>
      <c r="JKF101" s="22"/>
      <c r="JKG101" s="22"/>
      <c r="JKH101" s="22"/>
      <c r="JKI101" s="22"/>
      <c r="JKJ101" s="22"/>
      <c r="JKK101" s="22"/>
      <c r="JKL101" s="22"/>
      <c r="JKM101" s="22"/>
      <c r="JKN101" s="22"/>
      <c r="JKO101" s="22"/>
      <c r="JKP101" s="22"/>
      <c r="JKQ101" s="22"/>
      <c r="JKR101" s="22"/>
      <c r="JKS101" s="22"/>
      <c r="JKT101" s="22"/>
      <c r="JKU101" s="22"/>
      <c r="JKV101" s="22"/>
      <c r="JKW101" s="22"/>
      <c r="JKX101" s="22"/>
      <c r="JKY101" s="22"/>
      <c r="JKZ101" s="22"/>
      <c r="JLA101" s="22"/>
      <c r="JLB101" s="22"/>
      <c r="JLC101" s="22"/>
      <c r="JLD101" s="22"/>
      <c r="JLE101" s="22"/>
      <c r="JLF101" s="22"/>
      <c r="JLG101" s="22"/>
      <c r="JLH101" s="22"/>
      <c r="JLI101" s="22"/>
      <c r="JLJ101" s="22"/>
      <c r="JLK101" s="22"/>
      <c r="JLL101" s="22"/>
      <c r="JLM101" s="22"/>
      <c r="JLN101" s="22"/>
      <c r="JLO101" s="22"/>
      <c r="JLP101" s="22"/>
      <c r="JLQ101" s="22"/>
      <c r="JLR101" s="22"/>
      <c r="JLS101" s="22"/>
      <c r="JLT101" s="22"/>
      <c r="JLU101" s="22"/>
      <c r="JLV101" s="22"/>
      <c r="JLW101" s="22"/>
      <c r="JLX101" s="22"/>
      <c r="JLY101" s="22"/>
      <c r="JLZ101" s="22"/>
      <c r="JMA101" s="22"/>
      <c r="JMB101" s="22"/>
      <c r="JMC101" s="22"/>
      <c r="JMD101" s="22"/>
      <c r="JME101" s="22"/>
      <c r="JMF101" s="22"/>
      <c r="JMG101" s="22"/>
      <c r="JMH101" s="22"/>
      <c r="JMI101" s="22"/>
      <c r="JMJ101" s="22"/>
      <c r="JMK101" s="22"/>
      <c r="JML101" s="22"/>
      <c r="JMM101" s="22"/>
      <c r="JMN101" s="22"/>
      <c r="JMO101" s="22"/>
      <c r="JMP101" s="22"/>
      <c r="JMQ101" s="22"/>
      <c r="JMR101" s="22"/>
      <c r="JMS101" s="22"/>
      <c r="JMT101" s="22"/>
      <c r="JMU101" s="22"/>
      <c r="JMV101" s="22"/>
      <c r="JMW101" s="22"/>
      <c r="JMX101" s="22"/>
      <c r="JMY101" s="22"/>
      <c r="JMZ101" s="22"/>
      <c r="JNA101" s="22"/>
      <c r="JNB101" s="22"/>
      <c r="JNC101" s="22"/>
      <c r="JND101" s="22"/>
      <c r="JNE101" s="22"/>
      <c r="JNF101" s="22"/>
      <c r="JNG101" s="22"/>
      <c r="JNH101" s="22"/>
      <c r="JNI101" s="22"/>
      <c r="JNJ101" s="22"/>
      <c r="JNK101" s="22"/>
      <c r="JNL101" s="22"/>
      <c r="JNM101" s="22"/>
      <c r="JNN101" s="22"/>
      <c r="JNO101" s="22"/>
      <c r="JNP101" s="22"/>
      <c r="JNQ101" s="22"/>
      <c r="JNR101" s="22"/>
      <c r="JNS101" s="22"/>
      <c r="JNT101" s="22"/>
      <c r="JNU101" s="22"/>
      <c r="JNV101" s="22"/>
      <c r="JNW101" s="22"/>
      <c r="JNX101" s="22"/>
      <c r="JNY101" s="22"/>
      <c r="JNZ101" s="22"/>
      <c r="JOA101" s="22"/>
      <c r="JOB101" s="22"/>
      <c r="JOC101" s="22"/>
      <c r="JOD101" s="22"/>
      <c r="JOE101" s="22"/>
      <c r="JOF101" s="22"/>
      <c r="JOG101" s="22"/>
      <c r="JOH101" s="22"/>
      <c r="JOI101" s="22"/>
      <c r="JOJ101" s="22"/>
      <c r="JOK101" s="22"/>
      <c r="JOL101" s="22"/>
      <c r="JOM101" s="22"/>
      <c r="JON101" s="22"/>
      <c r="JOO101" s="22"/>
      <c r="JOP101" s="22"/>
      <c r="JOQ101" s="22"/>
      <c r="JOR101" s="22"/>
      <c r="JOS101" s="22"/>
      <c r="JOT101" s="22"/>
      <c r="JOU101" s="22"/>
      <c r="JOV101" s="22"/>
      <c r="JOW101" s="22"/>
      <c r="JOX101" s="22"/>
      <c r="JOY101" s="22"/>
      <c r="JOZ101" s="22"/>
      <c r="JPA101" s="22"/>
      <c r="JPB101" s="22"/>
      <c r="JPC101" s="22"/>
      <c r="JPD101" s="22"/>
      <c r="JPE101" s="22"/>
      <c r="JPF101" s="22"/>
      <c r="JPG101" s="22"/>
      <c r="JPH101" s="22"/>
      <c r="JPI101" s="22"/>
      <c r="JPJ101" s="22"/>
      <c r="JPK101" s="22"/>
      <c r="JPL101" s="22"/>
      <c r="JPM101" s="22"/>
      <c r="JPN101" s="22"/>
      <c r="JPO101" s="22"/>
      <c r="JPP101" s="22"/>
      <c r="JPQ101" s="22"/>
      <c r="JPR101" s="22"/>
      <c r="JPS101" s="22"/>
      <c r="JPT101" s="22"/>
      <c r="JPU101" s="22"/>
      <c r="JPV101" s="22"/>
      <c r="JPW101" s="22"/>
      <c r="JPX101" s="22"/>
      <c r="JPY101" s="22"/>
      <c r="JPZ101" s="22"/>
      <c r="JQA101" s="22"/>
      <c r="JQB101" s="22"/>
      <c r="JQC101" s="22"/>
      <c r="JQD101" s="22"/>
      <c r="JQE101" s="22"/>
      <c r="JQF101" s="22"/>
      <c r="JQG101" s="22"/>
      <c r="JQH101" s="22"/>
      <c r="JQI101" s="22"/>
      <c r="JQJ101" s="22"/>
      <c r="JQK101" s="22"/>
      <c r="JQL101" s="22"/>
      <c r="JQM101" s="22"/>
      <c r="JQN101" s="22"/>
      <c r="JQO101" s="22"/>
      <c r="JQP101" s="22"/>
      <c r="JQQ101" s="22"/>
      <c r="JQR101" s="22"/>
      <c r="JQS101" s="22"/>
      <c r="JQT101" s="22"/>
      <c r="JQU101" s="22"/>
      <c r="JQV101" s="22"/>
      <c r="JQW101" s="22"/>
      <c r="JQX101" s="22"/>
      <c r="JQY101" s="22"/>
      <c r="JQZ101" s="22"/>
      <c r="JRA101" s="22"/>
      <c r="JRB101" s="22"/>
      <c r="JRC101" s="22"/>
      <c r="JRD101" s="22"/>
      <c r="JRE101" s="22"/>
      <c r="JRF101" s="22"/>
      <c r="JRG101" s="22"/>
      <c r="JRH101" s="22"/>
      <c r="JRI101" s="22"/>
      <c r="JRJ101" s="22"/>
      <c r="JRK101" s="22"/>
      <c r="JRL101" s="22"/>
      <c r="JRM101" s="22"/>
      <c r="JRN101" s="22"/>
      <c r="JRO101" s="22"/>
      <c r="JRP101" s="22"/>
      <c r="JRQ101" s="22"/>
      <c r="JRR101" s="22"/>
      <c r="JRS101" s="22"/>
      <c r="JRT101" s="22"/>
      <c r="JRU101" s="22"/>
      <c r="JRV101" s="22"/>
      <c r="JRW101" s="22"/>
      <c r="JRX101" s="22"/>
      <c r="JRY101" s="22"/>
      <c r="JRZ101" s="22"/>
      <c r="JSA101" s="22"/>
      <c r="JSB101" s="22"/>
      <c r="JSC101" s="22"/>
      <c r="JSD101" s="22"/>
      <c r="JSE101" s="22"/>
      <c r="JSF101" s="22"/>
      <c r="JSG101" s="22"/>
      <c r="JSH101" s="22"/>
      <c r="JSI101" s="22"/>
      <c r="JSJ101" s="22"/>
      <c r="JSK101" s="22"/>
      <c r="JSL101" s="22"/>
      <c r="JSM101" s="22"/>
      <c r="JSN101" s="22"/>
      <c r="JSO101" s="22"/>
      <c r="JSP101" s="22"/>
      <c r="JSQ101" s="22"/>
      <c r="JSR101" s="22"/>
      <c r="JSS101" s="22"/>
      <c r="JST101" s="22"/>
      <c r="JSU101" s="22"/>
      <c r="JSV101" s="22"/>
      <c r="JSW101" s="22"/>
      <c r="JSX101" s="22"/>
      <c r="JSY101" s="22"/>
      <c r="JSZ101" s="22"/>
      <c r="JTA101" s="22"/>
      <c r="JTB101" s="22"/>
      <c r="JTC101" s="22"/>
      <c r="JTD101" s="22"/>
      <c r="JTE101" s="22"/>
      <c r="JTF101" s="22"/>
      <c r="JTG101" s="22"/>
      <c r="JTH101" s="22"/>
      <c r="JTI101" s="22"/>
      <c r="JTJ101" s="22"/>
      <c r="JTK101" s="22"/>
      <c r="JTL101" s="22"/>
      <c r="JTM101" s="22"/>
      <c r="JTN101" s="22"/>
      <c r="JTO101" s="22"/>
      <c r="JTP101" s="22"/>
      <c r="JTQ101" s="22"/>
      <c r="JTR101" s="22"/>
      <c r="JTS101" s="22"/>
      <c r="JTT101" s="22"/>
      <c r="JTU101" s="22"/>
      <c r="JTV101" s="22"/>
      <c r="JTW101" s="22"/>
      <c r="JTX101" s="22"/>
      <c r="JTY101" s="22"/>
      <c r="JTZ101" s="22"/>
      <c r="JUA101" s="22"/>
      <c r="JUB101" s="22"/>
      <c r="JUC101" s="22"/>
      <c r="JUD101" s="22"/>
      <c r="JUE101" s="22"/>
      <c r="JUF101" s="22"/>
      <c r="JUG101" s="22"/>
      <c r="JUH101" s="22"/>
      <c r="JUI101" s="22"/>
      <c r="JUJ101" s="22"/>
      <c r="JUK101" s="22"/>
      <c r="JUL101" s="22"/>
      <c r="JUM101" s="22"/>
      <c r="JUN101" s="22"/>
      <c r="JUO101" s="22"/>
      <c r="JUP101" s="22"/>
      <c r="JUQ101" s="22"/>
      <c r="JUR101" s="22"/>
      <c r="JUS101" s="22"/>
      <c r="JUT101" s="22"/>
      <c r="JUU101" s="22"/>
      <c r="JUV101" s="22"/>
      <c r="JUW101" s="22"/>
      <c r="JUX101" s="22"/>
      <c r="JUY101" s="22"/>
      <c r="JUZ101" s="22"/>
      <c r="JVA101" s="22"/>
      <c r="JVB101" s="22"/>
      <c r="JVC101" s="22"/>
      <c r="JVD101" s="22"/>
      <c r="JVE101" s="22"/>
      <c r="JVF101" s="22"/>
      <c r="JVG101" s="22"/>
      <c r="JVH101" s="22"/>
      <c r="JVI101" s="22"/>
      <c r="JVJ101" s="22"/>
      <c r="JVK101" s="22"/>
      <c r="JVL101" s="22"/>
      <c r="JVM101" s="22"/>
      <c r="JVN101" s="22"/>
      <c r="JVO101" s="22"/>
      <c r="JVP101" s="22"/>
      <c r="JVQ101" s="22"/>
      <c r="JVR101" s="22"/>
      <c r="JVS101" s="22"/>
      <c r="JVT101" s="22"/>
      <c r="JVU101" s="22"/>
      <c r="JVV101" s="22"/>
      <c r="JVW101" s="22"/>
      <c r="JVX101" s="22"/>
      <c r="JVY101" s="22"/>
      <c r="JVZ101" s="22"/>
      <c r="JWA101" s="22"/>
      <c r="JWB101" s="22"/>
      <c r="JWC101" s="22"/>
      <c r="JWD101" s="22"/>
      <c r="JWE101" s="22"/>
      <c r="JWF101" s="22"/>
      <c r="JWG101" s="22"/>
      <c r="JWH101" s="22"/>
      <c r="JWI101" s="22"/>
      <c r="JWJ101" s="22"/>
      <c r="JWK101" s="22"/>
      <c r="JWL101" s="22"/>
      <c r="JWM101" s="22"/>
      <c r="JWN101" s="22"/>
      <c r="JWO101" s="22"/>
      <c r="JWP101" s="22"/>
      <c r="JWQ101" s="22"/>
      <c r="JWR101" s="22"/>
      <c r="JWS101" s="22"/>
      <c r="JWT101" s="22"/>
      <c r="JWU101" s="22"/>
      <c r="JWV101" s="22"/>
      <c r="JWW101" s="22"/>
      <c r="JWX101" s="22"/>
      <c r="JWY101" s="22"/>
      <c r="JWZ101" s="22"/>
      <c r="JXA101" s="22"/>
      <c r="JXB101" s="22"/>
      <c r="JXC101" s="22"/>
      <c r="JXD101" s="22"/>
      <c r="JXE101" s="22"/>
      <c r="JXF101" s="22"/>
      <c r="JXG101" s="22"/>
      <c r="JXH101" s="22"/>
      <c r="JXI101" s="22"/>
      <c r="JXJ101" s="22"/>
      <c r="JXK101" s="22"/>
      <c r="JXL101" s="22"/>
      <c r="JXM101" s="22"/>
      <c r="JXN101" s="22"/>
      <c r="JXO101" s="22"/>
      <c r="JXP101" s="22"/>
      <c r="JXQ101" s="22"/>
      <c r="JXR101" s="22"/>
      <c r="JXS101" s="22"/>
      <c r="JXT101" s="22"/>
      <c r="JXU101" s="22"/>
      <c r="JXV101" s="22"/>
      <c r="JXW101" s="22"/>
      <c r="JXX101" s="22"/>
      <c r="JXY101" s="22"/>
      <c r="JXZ101" s="22"/>
      <c r="JYA101" s="22"/>
      <c r="JYB101" s="22"/>
      <c r="JYC101" s="22"/>
      <c r="JYD101" s="22"/>
      <c r="JYE101" s="22"/>
      <c r="JYF101" s="22"/>
      <c r="JYG101" s="22"/>
      <c r="JYH101" s="22"/>
      <c r="JYI101" s="22"/>
      <c r="JYJ101" s="22"/>
      <c r="JYK101" s="22"/>
      <c r="JYL101" s="22"/>
      <c r="JYM101" s="22"/>
      <c r="JYN101" s="22"/>
      <c r="JYO101" s="22"/>
      <c r="JYP101" s="22"/>
      <c r="JYQ101" s="22"/>
      <c r="JYR101" s="22"/>
      <c r="JYS101" s="22"/>
      <c r="JYT101" s="22"/>
      <c r="JYU101" s="22"/>
      <c r="JYV101" s="22"/>
      <c r="JYW101" s="22"/>
      <c r="JYX101" s="22"/>
      <c r="JYY101" s="22"/>
      <c r="JYZ101" s="22"/>
      <c r="JZA101" s="22"/>
      <c r="JZB101" s="22"/>
      <c r="JZC101" s="22"/>
      <c r="JZD101" s="22"/>
      <c r="JZE101" s="22"/>
      <c r="JZF101" s="22"/>
      <c r="JZG101" s="22"/>
      <c r="JZH101" s="22"/>
      <c r="JZI101" s="22"/>
      <c r="JZJ101" s="22"/>
      <c r="JZK101" s="22"/>
      <c r="JZL101" s="22"/>
      <c r="JZM101" s="22"/>
      <c r="JZN101" s="22"/>
      <c r="JZO101" s="22"/>
      <c r="JZP101" s="22"/>
      <c r="JZQ101" s="22"/>
      <c r="JZR101" s="22"/>
      <c r="JZS101" s="22"/>
      <c r="JZT101" s="22"/>
      <c r="JZU101" s="22"/>
      <c r="JZV101" s="22"/>
      <c r="JZW101" s="22"/>
      <c r="JZX101" s="22"/>
      <c r="JZY101" s="22"/>
      <c r="JZZ101" s="22"/>
      <c r="KAA101" s="22"/>
      <c r="KAB101" s="22"/>
      <c r="KAC101" s="22"/>
      <c r="KAD101" s="22"/>
      <c r="KAE101" s="22"/>
      <c r="KAF101" s="22"/>
      <c r="KAG101" s="22"/>
      <c r="KAH101" s="22"/>
      <c r="KAI101" s="22"/>
      <c r="KAJ101" s="22"/>
      <c r="KAK101" s="22"/>
      <c r="KAL101" s="22"/>
      <c r="KAM101" s="22"/>
      <c r="KAN101" s="22"/>
      <c r="KAO101" s="22"/>
      <c r="KAP101" s="22"/>
      <c r="KAQ101" s="22"/>
      <c r="KAR101" s="22"/>
      <c r="KAS101" s="22"/>
      <c r="KAT101" s="22"/>
      <c r="KAU101" s="22"/>
      <c r="KAV101" s="22"/>
      <c r="KAW101" s="22"/>
      <c r="KAX101" s="22"/>
      <c r="KAY101" s="22"/>
      <c r="KAZ101" s="22"/>
      <c r="KBA101" s="22"/>
      <c r="KBB101" s="22"/>
      <c r="KBC101" s="22"/>
      <c r="KBD101" s="22"/>
      <c r="KBE101" s="22"/>
      <c r="KBF101" s="22"/>
      <c r="KBG101" s="22"/>
      <c r="KBH101" s="22"/>
      <c r="KBI101" s="22"/>
      <c r="KBJ101" s="22"/>
      <c r="KBK101" s="22"/>
      <c r="KBL101" s="22"/>
      <c r="KBM101" s="22"/>
      <c r="KBN101" s="22"/>
      <c r="KBO101" s="22"/>
      <c r="KBP101" s="22"/>
      <c r="KBQ101" s="22"/>
      <c r="KBR101" s="22"/>
      <c r="KBS101" s="22"/>
      <c r="KBT101" s="22"/>
      <c r="KBU101" s="22"/>
      <c r="KBV101" s="22"/>
      <c r="KBW101" s="22"/>
      <c r="KBX101" s="22"/>
      <c r="KBY101" s="22"/>
      <c r="KBZ101" s="22"/>
      <c r="KCA101" s="22"/>
      <c r="KCB101" s="22"/>
      <c r="KCC101" s="22"/>
      <c r="KCD101" s="22"/>
      <c r="KCE101" s="22"/>
      <c r="KCF101" s="22"/>
      <c r="KCG101" s="22"/>
      <c r="KCH101" s="22"/>
      <c r="KCI101" s="22"/>
      <c r="KCJ101" s="22"/>
      <c r="KCK101" s="22"/>
      <c r="KCL101" s="22"/>
      <c r="KCM101" s="22"/>
      <c r="KCN101" s="22"/>
      <c r="KCO101" s="22"/>
      <c r="KCP101" s="22"/>
      <c r="KCQ101" s="22"/>
      <c r="KCR101" s="22"/>
      <c r="KCS101" s="22"/>
      <c r="KCT101" s="22"/>
      <c r="KCU101" s="22"/>
      <c r="KCV101" s="22"/>
      <c r="KCW101" s="22"/>
      <c r="KCX101" s="22"/>
      <c r="KCY101" s="22"/>
      <c r="KCZ101" s="22"/>
      <c r="KDA101" s="22"/>
      <c r="KDB101" s="22"/>
      <c r="KDC101" s="22"/>
      <c r="KDD101" s="22"/>
      <c r="KDE101" s="22"/>
      <c r="KDF101" s="22"/>
      <c r="KDG101" s="22"/>
      <c r="KDH101" s="22"/>
      <c r="KDI101" s="22"/>
      <c r="KDJ101" s="22"/>
      <c r="KDK101" s="22"/>
      <c r="KDL101" s="22"/>
      <c r="KDM101" s="22"/>
      <c r="KDN101" s="22"/>
      <c r="KDO101" s="22"/>
      <c r="KDP101" s="22"/>
      <c r="KDQ101" s="22"/>
      <c r="KDR101" s="22"/>
      <c r="KDS101" s="22"/>
      <c r="KDT101" s="22"/>
      <c r="KDU101" s="22"/>
      <c r="KDV101" s="22"/>
      <c r="KDW101" s="22"/>
      <c r="KDX101" s="22"/>
      <c r="KDY101" s="22"/>
      <c r="KDZ101" s="22"/>
      <c r="KEA101" s="22"/>
      <c r="KEB101" s="22"/>
      <c r="KEC101" s="22"/>
      <c r="KED101" s="22"/>
      <c r="KEE101" s="22"/>
      <c r="KEF101" s="22"/>
      <c r="KEG101" s="22"/>
      <c r="KEH101" s="22"/>
      <c r="KEI101" s="22"/>
      <c r="KEJ101" s="22"/>
      <c r="KEK101" s="22"/>
      <c r="KEL101" s="22"/>
      <c r="KEM101" s="22"/>
      <c r="KEN101" s="22"/>
      <c r="KEO101" s="22"/>
      <c r="KEP101" s="22"/>
      <c r="KEQ101" s="22"/>
      <c r="KER101" s="22"/>
      <c r="KES101" s="22"/>
      <c r="KET101" s="22"/>
      <c r="KEU101" s="22"/>
      <c r="KEV101" s="22"/>
      <c r="KEW101" s="22"/>
      <c r="KEX101" s="22"/>
      <c r="KEY101" s="22"/>
      <c r="KEZ101" s="22"/>
      <c r="KFA101" s="22"/>
      <c r="KFB101" s="22"/>
      <c r="KFC101" s="22"/>
      <c r="KFD101" s="22"/>
      <c r="KFE101" s="22"/>
      <c r="KFF101" s="22"/>
      <c r="KFG101" s="22"/>
      <c r="KFH101" s="22"/>
      <c r="KFI101" s="22"/>
      <c r="KFJ101" s="22"/>
      <c r="KFK101" s="22"/>
      <c r="KFL101" s="22"/>
      <c r="KFM101" s="22"/>
      <c r="KFN101" s="22"/>
      <c r="KFO101" s="22"/>
      <c r="KFP101" s="22"/>
      <c r="KFQ101" s="22"/>
      <c r="KFR101" s="22"/>
      <c r="KFS101" s="22"/>
      <c r="KFT101" s="22"/>
      <c r="KFU101" s="22"/>
      <c r="KFV101" s="22"/>
      <c r="KFW101" s="22"/>
      <c r="KFX101" s="22"/>
      <c r="KFY101" s="22"/>
      <c r="KFZ101" s="22"/>
      <c r="KGA101" s="22"/>
      <c r="KGB101" s="22"/>
      <c r="KGC101" s="22"/>
      <c r="KGD101" s="22"/>
      <c r="KGE101" s="22"/>
      <c r="KGF101" s="22"/>
      <c r="KGG101" s="22"/>
      <c r="KGH101" s="22"/>
      <c r="KGI101" s="22"/>
      <c r="KGJ101" s="22"/>
      <c r="KGK101" s="22"/>
      <c r="KGL101" s="22"/>
      <c r="KGM101" s="22"/>
      <c r="KGN101" s="22"/>
      <c r="KGO101" s="22"/>
      <c r="KGP101" s="22"/>
      <c r="KGQ101" s="22"/>
      <c r="KGR101" s="22"/>
      <c r="KGS101" s="22"/>
      <c r="KGT101" s="22"/>
      <c r="KGU101" s="22"/>
      <c r="KGV101" s="22"/>
      <c r="KGW101" s="22"/>
      <c r="KGX101" s="22"/>
      <c r="KGY101" s="22"/>
      <c r="KGZ101" s="22"/>
      <c r="KHA101" s="22"/>
      <c r="KHB101" s="22"/>
      <c r="KHC101" s="22"/>
      <c r="KHD101" s="22"/>
      <c r="KHE101" s="22"/>
      <c r="KHF101" s="22"/>
      <c r="KHG101" s="22"/>
      <c r="KHH101" s="22"/>
      <c r="KHI101" s="22"/>
      <c r="KHJ101" s="22"/>
      <c r="KHK101" s="22"/>
      <c r="KHL101" s="22"/>
      <c r="KHM101" s="22"/>
      <c r="KHN101" s="22"/>
      <c r="KHO101" s="22"/>
      <c r="KHP101" s="22"/>
      <c r="KHQ101" s="22"/>
      <c r="KHR101" s="22"/>
      <c r="KHS101" s="22"/>
      <c r="KHT101" s="22"/>
      <c r="KHU101" s="22"/>
      <c r="KHV101" s="22"/>
      <c r="KHW101" s="22"/>
      <c r="KHX101" s="22"/>
      <c r="KHY101" s="22"/>
      <c r="KHZ101" s="22"/>
      <c r="KIA101" s="22"/>
      <c r="KIB101" s="22"/>
      <c r="KIC101" s="22"/>
      <c r="KID101" s="22"/>
      <c r="KIE101" s="22"/>
      <c r="KIF101" s="22"/>
      <c r="KIG101" s="22"/>
      <c r="KIH101" s="22"/>
      <c r="KII101" s="22"/>
      <c r="KIJ101" s="22"/>
      <c r="KIK101" s="22"/>
      <c r="KIL101" s="22"/>
      <c r="KIM101" s="22"/>
      <c r="KIN101" s="22"/>
      <c r="KIO101" s="22"/>
      <c r="KIP101" s="22"/>
      <c r="KIQ101" s="22"/>
      <c r="KIR101" s="22"/>
      <c r="KIS101" s="22"/>
      <c r="KIT101" s="22"/>
      <c r="KIU101" s="22"/>
      <c r="KIV101" s="22"/>
      <c r="KIW101" s="22"/>
      <c r="KIX101" s="22"/>
      <c r="KIY101" s="22"/>
      <c r="KIZ101" s="22"/>
      <c r="KJA101" s="22"/>
      <c r="KJB101" s="22"/>
      <c r="KJC101" s="22"/>
      <c r="KJD101" s="22"/>
      <c r="KJE101" s="22"/>
      <c r="KJF101" s="22"/>
      <c r="KJG101" s="22"/>
      <c r="KJH101" s="22"/>
      <c r="KJI101" s="22"/>
      <c r="KJJ101" s="22"/>
      <c r="KJK101" s="22"/>
      <c r="KJL101" s="22"/>
      <c r="KJM101" s="22"/>
      <c r="KJN101" s="22"/>
      <c r="KJO101" s="22"/>
      <c r="KJP101" s="22"/>
      <c r="KJQ101" s="22"/>
      <c r="KJR101" s="22"/>
      <c r="KJS101" s="22"/>
      <c r="KJT101" s="22"/>
      <c r="KJU101" s="22"/>
      <c r="KJV101" s="22"/>
      <c r="KJW101" s="22"/>
      <c r="KJX101" s="22"/>
      <c r="KJY101" s="22"/>
      <c r="KJZ101" s="22"/>
      <c r="KKA101" s="22"/>
      <c r="KKB101" s="22"/>
      <c r="KKC101" s="22"/>
      <c r="KKD101" s="22"/>
      <c r="KKE101" s="22"/>
      <c r="KKF101" s="22"/>
      <c r="KKG101" s="22"/>
      <c r="KKH101" s="22"/>
      <c r="KKI101" s="22"/>
      <c r="KKJ101" s="22"/>
      <c r="KKK101" s="22"/>
      <c r="KKL101" s="22"/>
      <c r="KKM101" s="22"/>
      <c r="KKN101" s="22"/>
      <c r="KKO101" s="22"/>
      <c r="KKP101" s="22"/>
      <c r="KKQ101" s="22"/>
      <c r="KKR101" s="22"/>
      <c r="KKS101" s="22"/>
      <c r="KKT101" s="22"/>
      <c r="KKU101" s="22"/>
      <c r="KKV101" s="22"/>
      <c r="KKW101" s="22"/>
      <c r="KKX101" s="22"/>
      <c r="KKY101" s="22"/>
      <c r="KKZ101" s="22"/>
      <c r="KLA101" s="22"/>
      <c r="KLB101" s="22"/>
      <c r="KLC101" s="22"/>
      <c r="KLD101" s="22"/>
      <c r="KLE101" s="22"/>
      <c r="KLF101" s="22"/>
      <c r="KLG101" s="22"/>
      <c r="KLH101" s="22"/>
      <c r="KLI101" s="22"/>
      <c r="KLJ101" s="22"/>
      <c r="KLK101" s="22"/>
      <c r="KLL101" s="22"/>
      <c r="KLM101" s="22"/>
      <c r="KLN101" s="22"/>
      <c r="KLO101" s="22"/>
      <c r="KLP101" s="22"/>
      <c r="KLQ101" s="22"/>
      <c r="KLR101" s="22"/>
      <c r="KLS101" s="22"/>
      <c r="KLT101" s="22"/>
      <c r="KLU101" s="22"/>
      <c r="KLV101" s="22"/>
      <c r="KLW101" s="22"/>
      <c r="KLX101" s="22"/>
      <c r="KLY101" s="22"/>
      <c r="KLZ101" s="22"/>
      <c r="KMA101" s="22"/>
      <c r="KMB101" s="22"/>
      <c r="KMC101" s="22"/>
      <c r="KMD101" s="22"/>
      <c r="KME101" s="22"/>
      <c r="KMF101" s="22"/>
      <c r="KMG101" s="22"/>
      <c r="KMH101" s="22"/>
      <c r="KMI101" s="22"/>
      <c r="KMJ101" s="22"/>
      <c r="KMK101" s="22"/>
      <c r="KML101" s="22"/>
      <c r="KMM101" s="22"/>
      <c r="KMN101" s="22"/>
      <c r="KMO101" s="22"/>
      <c r="KMP101" s="22"/>
      <c r="KMQ101" s="22"/>
      <c r="KMR101" s="22"/>
      <c r="KMS101" s="22"/>
      <c r="KMT101" s="22"/>
      <c r="KMU101" s="22"/>
      <c r="KMV101" s="22"/>
      <c r="KMW101" s="22"/>
      <c r="KMX101" s="22"/>
      <c r="KMY101" s="22"/>
      <c r="KMZ101" s="22"/>
      <c r="KNA101" s="22"/>
      <c r="KNB101" s="22"/>
      <c r="KNC101" s="22"/>
      <c r="KND101" s="22"/>
      <c r="KNE101" s="22"/>
      <c r="KNF101" s="22"/>
      <c r="KNG101" s="22"/>
      <c r="KNH101" s="22"/>
      <c r="KNI101" s="22"/>
      <c r="KNJ101" s="22"/>
      <c r="KNK101" s="22"/>
      <c r="KNL101" s="22"/>
      <c r="KNM101" s="22"/>
      <c r="KNN101" s="22"/>
      <c r="KNO101" s="22"/>
      <c r="KNP101" s="22"/>
      <c r="KNQ101" s="22"/>
      <c r="KNR101" s="22"/>
      <c r="KNS101" s="22"/>
      <c r="KNT101" s="22"/>
      <c r="KNU101" s="22"/>
      <c r="KNV101" s="22"/>
      <c r="KNW101" s="22"/>
      <c r="KNX101" s="22"/>
      <c r="KNY101" s="22"/>
      <c r="KNZ101" s="22"/>
      <c r="KOA101" s="22"/>
      <c r="KOB101" s="22"/>
      <c r="KOC101" s="22"/>
      <c r="KOD101" s="22"/>
      <c r="KOE101" s="22"/>
      <c r="KOF101" s="22"/>
      <c r="KOG101" s="22"/>
      <c r="KOH101" s="22"/>
      <c r="KOI101" s="22"/>
      <c r="KOJ101" s="22"/>
      <c r="KOK101" s="22"/>
      <c r="KOL101" s="22"/>
      <c r="KOM101" s="22"/>
      <c r="KON101" s="22"/>
      <c r="KOO101" s="22"/>
      <c r="KOP101" s="22"/>
      <c r="KOQ101" s="22"/>
      <c r="KOR101" s="22"/>
      <c r="KOS101" s="22"/>
      <c r="KOT101" s="22"/>
      <c r="KOU101" s="22"/>
      <c r="KOV101" s="22"/>
      <c r="KOW101" s="22"/>
      <c r="KOX101" s="22"/>
      <c r="KOY101" s="22"/>
      <c r="KOZ101" s="22"/>
      <c r="KPA101" s="22"/>
      <c r="KPB101" s="22"/>
      <c r="KPC101" s="22"/>
      <c r="KPD101" s="22"/>
      <c r="KPE101" s="22"/>
      <c r="KPF101" s="22"/>
      <c r="KPG101" s="22"/>
      <c r="KPH101" s="22"/>
      <c r="KPI101" s="22"/>
      <c r="KPJ101" s="22"/>
      <c r="KPK101" s="22"/>
      <c r="KPL101" s="22"/>
      <c r="KPM101" s="22"/>
      <c r="KPN101" s="22"/>
      <c r="KPO101" s="22"/>
      <c r="KPP101" s="22"/>
      <c r="KPQ101" s="22"/>
      <c r="KPR101" s="22"/>
      <c r="KPS101" s="22"/>
      <c r="KPT101" s="22"/>
      <c r="KPU101" s="22"/>
      <c r="KPV101" s="22"/>
      <c r="KPW101" s="22"/>
      <c r="KPX101" s="22"/>
      <c r="KPY101" s="22"/>
      <c r="KPZ101" s="22"/>
      <c r="KQA101" s="22"/>
      <c r="KQB101" s="22"/>
      <c r="KQC101" s="22"/>
      <c r="KQD101" s="22"/>
      <c r="KQE101" s="22"/>
      <c r="KQF101" s="22"/>
      <c r="KQG101" s="22"/>
      <c r="KQH101" s="22"/>
      <c r="KQI101" s="22"/>
      <c r="KQJ101" s="22"/>
      <c r="KQK101" s="22"/>
      <c r="KQL101" s="22"/>
      <c r="KQM101" s="22"/>
      <c r="KQN101" s="22"/>
      <c r="KQO101" s="22"/>
      <c r="KQP101" s="22"/>
      <c r="KQQ101" s="22"/>
      <c r="KQR101" s="22"/>
      <c r="KQS101" s="22"/>
      <c r="KQT101" s="22"/>
      <c r="KQU101" s="22"/>
      <c r="KQV101" s="22"/>
      <c r="KQW101" s="22"/>
      <c r="KQX101" s="22"/>
      <c r="KQY101" s="22"/>
      <c r="KQZ101" s="22"/>
      <c r="KRA101" s="22"/>
      <c r="KRB101" s="22"/>
      <c r="KRC101" s="22"/>
      <c r="KRD101" s="22"/>
      <c r="KRE101" s="22"/>
      <c r="KRF101" s="22"/>
      <c r="KRG101" s="22"/>
      <c r="KRH101" s="22"/>
      <c r="KRI101" s="22"/>
      <c r="KRJ101" s="22"/>
      <c r="KRK101" s="22"/>
      <c r="KRL101" s="22"/>
      <c r="KRM101" s="22"/>
      <c r="KRN101" s="22"/>
      <c r="KRO101" s="22"/>
      <c r="KRP101" s="22"/>
      <c r="KRQ101" s="22"/>
      <c r="KRR101" s="22"/>
      <c r="KRS101" s="22"/>
      <c r="KRT101" s="22"/>
      <c r="KRU101" s="22"/>
      <c r="KRV101" s="22"/>
      <c r="KRW101" s="22"/>
      <c r="KRX101" s="22"/>
      <c r="KRY101" s="22"/>
      <c r="KRZ101" s="22"/>
      <c r="KSA101" s="22"/>
      <c r="KSB101" s="22"/>
      <c r="KSC101" s="22"/>
      <c r="KSD101" s="22"/>
      <c r="KSE101" s="22"/>
      <c r="KSF101" s="22"/>
      <c r="KSG101" s="22"/>
      <c r="KSH101" s="22"/>
      <c r="KSI101" s="22"/>
      <c r="KSJ101" s="22"/>
      <c r="KSK101" s="22"/>
      <c r="KSL101" s="22"/>
      <c r="KSM101" s="22"/>
      <c r="KSN101" s="22"/>
      <c r="KSO101" s="22"/>
      <c r="KSP101" s="22"/>
      <c r="KSQ101" s="22"/>
      <c r="KSR101" s="22"/>
      <c r="KSS101" s="22"/>
      <c r="KST101" s="22"/>
      <c r="KSU101" s="22"/>
      <c r="KSV101" s="22"/>
      <c r="KSW101" s="22"/>
      <c r="KSX101" s="22"/>
      <c r="KSY101" s="22"/>
      <c r="KSZ101" s="22"/>
      <c r="KTA101" s="22"/>
      <c r="KTB101" s="22"/>
      <c r="KTC101" s="22"/>
      <c r="KTD101" s="22"/>
      <c r="KTE101" s="22"/>
      <c r="KTF101" s="22"/>
      <c r="KTG101" s="22"/>
      <c r="KTH101" s="22"/>
      <c r="KTI101" s="22"/>
      <c r="KTJ101" s="22"/>
      <c r="KTK101" s="22"/>
      <c r="KTL101" s="22"/>
      <c r="KTM101" s="22"/>
      <c r="KTN101" s="22"/>
      <c r="KTO101" s="22"/>
      <c r="KTP101" s="22"/>
      <c r="KTQ101" s="22"/>
      <c r="KTR101" s="22"/>
      <c r="KTS101" s="22"/>
      <c r="KTT101" s="22"/>
      <c r="KTU101" s="22"/>
      <c r="KTV101" s="22"/>
      <c r="KTW101" s="22"/>
      <c r="KTX101" s="22"/>
      <c r="KTY101" s="22"/>
      <c r="KTZ101" s="22"/>
      <c r="KUA101" s="22"/>
      <c r="KUB101" s="22"/>
      <c r="KUC101" s="22"/>
      <c r="KUD101" s="22"/>
      <c r="KUE101" s="22"/>
      <c r="KUF101" s="22"/>
      <c r="KUG101" s="22"/>
      <c r="KUH101" s="22"/>
      <c r="KUI101" s="22"/>
      <c r="KUJ101" s="22"/>
      <c r="KUK101" s="22"/>
      <c r="KUL101" s="22"/>
      <c r="KUM101" s="22"/>
      <c r="KUN101" s="22"/>
      <c r="KUO101" s="22"/>
      <c r="KUP101" s="22"/>
      <c r="KUQ101" s="22"/>
      <c r="KUR101" s="22"/>
      <c r="KUS101" s="22"/>
      <c r="KUT101" s="22"/>
      <c r="KUU101" s="22"/>
      <c r="KUV101" s="22"/>
      <c r="KUW101" s="22"/>
      <c r="KUX101" s="22"/>
      <c r="KUY101" s="22"/>
      <c r="KUZ101" s="22"/>
      <c r="KVA101" s="22"/>
      <c r="KVB101" s="22"/>
      <c r="KVC101" s="22"/>
      <c r="KVD101" s="22"/>
      <c r="KVE101" s="22"/>
      <c r="KVF101" s="22"/>
      <c r="KVG101" s="22"/>
      <c r="KVH101" s="22"/>
      <c r="KVI101" s="22"/>
      <c r="KVJ101" s="22"/>
      <c r="KVK101" s="22"/>
      <c r="KVL101" s="22"/>
      <c r="KVM101" s="22"/>
      <c r="KVN101" s="22"/>
      <c r="KVO101" s="22"/>
      <c r="KVP101" s="22"/>
      <c r="KVQ101" s="22"/>
      <c r="KVR101" s="22"/>
      <c r="KVS101" s="22"/>
      <c r="KVT101" s="22"/>
      <c r="KVU101" s="22"/>
      <c r="KVV101" s="22"/>
      <c r="KVW101" s="22"/>
      <c r="KVX101" s="22"/>
      <c r="KVY101" s="22"/>
      <c r="KVZ101" s="22"/>
      <c r="KWA101" s="22"/>
      <c r="KWB101" s="22"/>
      <c r="KWC101" s="22"/>
      <c r="KWD101" s="22"/>
      <c r="KWE101" s="22"/>
      <c r="KWF101" s="22"/>
      <c r="KWG101" s="22"/>
      <c r="KWH101" s="22"/>
      <c r="KWI101" s="22"/>
      <c r="KWJ101" s="22"/>
      <c r="KWK101" s="22"/>
      <c r="KWL101" s="22"/>
      <c r="KWM101" s="22"/>
      <c r="KWN101" s="22"/>
      <c r="KWO101" s="22"/>
      <c r="KWP101" s="22"/>
      <c r="KWQ101" s="22"/>
      <c r="KWR101" s="22"/>
      <c r="KWS101" s="22"/>
      <c r="KWT101" s="22"/>
      <c r="KWU101" s="22"/>
      <c r="KWV101" s="22"/>
      <c r="KWW101" s="22"/>
      <c r="KWX101" s="22"/>
      <c r="KWY101" s="22"/>
      <c r="KWZ101" s="22"/>
      <c r="KXA101" s="22"/>
      <c r="KXB101" s="22"/>
      <c r="KXC101" s="22"/>
      <c r="KXD101" s="22"/>
      <c r="KXE101" s="22"/>
      <c r="KXF101" s="22"/>
      <c r="KXG101" s="22"/>
      <c r="KXH101" s="22"/>
      <c r="KXI101" s="22"/>
      <c r="KXJ101" s="22"/>
      <c r="KXK101" s="22"/>
      <c r="KXL101" s="22"/>
      <c r="KXM101" s="22"/>
      <c r="KXN101" s="22"/>
      <c r="KXO101" s="22"/>
      <c r="KXP101" s="22"/>
      <c r="KXQ101" s="22"/>
      <c r="KXR101" s="22"/>
      <c r="KXS101" s="22"/>
      <c r="KXT101" s="22"/>
      <c r="KXU101" s="22"/>
      <c r="KXV101" s="22"/>
      <c r="KXW101" s="22"/>
      <c r="KXX101" s="22"/>
      <c r="KXY101" s="22"/>
      <c r="KXZ101" s="22"/>
      <c r="KYA101" s="22"/>
      <c r="KYB101" s="22"/>
      <c r="KYC101" s="22"/>
      <c r="KYD101" s="22"/>
      <c r="KYE101" s="22"/>
      <c r="KYF101" s="22"/>
      <c r="KYG101" s="22"/>
      <c r="KYH101" s="22"/>
      <c r="KYI101" s="22"/>
      <c r="KYJ101" s="22"/>
      <c r="KYK101" s="22"/>
      <c r="KYL101" s="22"/>
      <c r="KYM101" s="22"/>
      <c r="KYN101" s="22"/>
      <c r="KYO101" s="22"/>
      <c r="KYP101" s="22"/>
      <c r="KYQ101" s="22"/>
      <c r="KYR101" s="22"/>
      <c r="KYS101" s="22"/>
      <c r="KYT101" s="22"/>
      <c r="KYU101" s="22"/>
      <c r="KYV101" s="22"/>
      <c r="KYW101" s="22"/>
      <c r="KYX101" s="22"/>
      <c r="KYY101" s="22"/>
      <c r="KYZ101" s="22"/>
      <c r="KZA101" s="22"/>
      <c r="KZB101" s="22"/>
      <c r="KZC101" s="22"/>
      <c r="KZD101" s="22"/>
      <c r="KZE101" s="22"/>
      <c r="KZF101" s="22"/>
      <c r="KZG101" s="22"/>
      <c r="KZH101" s="22"/>
      <c r="KZI101" s="22"/>
      <c r="KZJ101" s="22"/>
      <c r="KZK101" s="22"/>
      <c r="KZL101" s="22"/>
      <c r="KZM101" s="22"/>
      <c r="KZN101" s="22"/>
      <c r="KZO101" s="22"/>
      <c r="KZP101" s="22"/>
      <c r="KZQ101" s="22"/>
      <c r="KZR101" s="22"/>
      <c r="KZS101" s="22"/>
      <c r="KZT101" s="22"/>
      <c r="KZU101" s="22"/>
      <c r="KZV101" s="22"/>
      <c r="KZW101" s="22"/>
      <c r="KZX101" s="22"/>
      <c r="KZY101" s="22"/>
      <c r="KZZ101" s="22"/>
      <c r="LAA101" s="22"/>
      <c r="LAB101" s="22"/>
      <c r="LAC101" s="22"/>
      <c r="LAD101" s="22"/>
      <c r="LAE101" s="22"/>
      <c r="LAF101" s="22"/>
      <c r="LAG101" s="22"/>
      <c r="LAH101" s="22"/>
      <c r="LAI101" s="22"/>
      <c r="LAJ101" s="22"/>
      <c r="LAK101" s="22"/>
      <c r="LAL101" s="22"/>
      <c r="LAM101" s="22"/>
      <c r="LAN101" s="22"/>
      <c r="LAO101" s="22"/>
      <c r="LAP101" s="22"/>
      <c r="LAQ101" s="22"/>
      <c r="LAR101" s="22"/>
      <c r="LAS101" s="22"/>
      <c r="LAT101" s="22"/>
      <c r="LAU101" s="22"/>
      <c r="LAV101" s="22"/>
      <c r="LAW101" s="22"/>
      <c r="LAX101" s="22"/>
      <c r="LAY101" s="22"/>
      <c r="LAZ101" s="22"/>
      <c r="LBA101" s="22"/>
      <c r="LBB101" s="22"/>
      <c r="LBC101" s="22"/>
      <c r="LBD101" s="22"/>
      <c r="LBE101" s="22"/>
      <c r="LBF101" s="22"/>
      <c r="LBG101" s="22"/>
      <c r="LBH101" s="22"/>
      <c r="LBI101" s="22"/>
      <c r="LBJ101" s="22"/>
      <c r="LBK101" s="22"/>
      <c r="LBL101" s="22"/>
      <c r="LBM101" s="22"/>
      <c r="LBN101" s="22"/>
      <c r="LBO101" s="22"/>
      <c r="LBP101" s="22"/>
      <c r="LBQ101" s="22"/>
      <c r="LBR101" s="22"/>
      <c r="LBS101" s="22"/>
      <c r="LBT101" s="22"/>
      <c r="LBU101" s="22"/>
      <c r="LBV101" s="22"/>
      <c r="LBW101" s="22"/>
      <c r="LBX101" s="22"/>
      <c r="LBY101" s="22"/>
      <c r="LBZ101" s="22"/>
      <c r="LCA101" s="22"/>
      <c r="LCB101" s="22"/>
      <c r="LCC101" s="22"/>
      <c r="LCD101" s="22"/>
      <c r="LCE101" s="22"/>
      <c r="LCF101" s="22"/>
      <c r="LCG101" s="22"/>
      <c r="LCH101" s="22"/>
      <c r="LCI101" s="22"/>
      <c r="LCJ101" s="22"/>
      <c r="LCK101" s="22"/>
      <c r="LCL101" s="22"/>
      <c r="LCM101" s="22"/>
      <c r="LCN101" s="22"/>
      <c r="LCO101" s="22"/>
      <c r="LCP101" s="22"/>
      <c r="LCQ101" s="22"/>
      <c r="LCR101" s="22"/>
      <c r="LCS101" s="22"/>
      <c r="LCT101" s="22"/>
      <c r="LCU101" s="22"/>
      <c r="LCV101" s="22"/>
      <c r="LCW101" s="22"/>
      <c r="LCX101" s="22"/>
      <c r="LCY101" s="22"/>
      <c r="LCZ101" s="22"/>
      <c r="LDA101" s="22"/>
      <c r="LDB101" s="22"/>
      <c r="LDC101" s="22"/>
      <c r="LDD101" s="22"/>
      <c r="LDE101" s="22"/>
      <c r="LDF101" s="22"/>
      <c r="LDG101" s="22"/>
      <c r="LDH101" s="22"/>
      <c r="LDI101" s="22"/>
      <c r="LDJ101" s="22"/>
      <c r="LDK101" s="22"/>
      <c r="LDL101" s="22"/>
      <c r="LDM101" s="22"/>
      <c r="LDN101" s="22"/>
      <c r="LDO101" s="22"/>
      <c r="LDP101" s="22"/>
      <c r="LDQ101" s="22"/>
      <c r="LDR101" s="22"/>
      <c r="LDS101" s="22"/>
      <c r="LDT101" s="22"/>
      <c r="LDU101" s="22"/>
      <c r="LDV101" s="22"/>
      <c r="LDW101" s="22"/>
      <c r="LDX101" s="22"/>
      <c r="LDY101" s="22"/>
      <c r="LDZ101" s="22"/>
      <c r="LEA101" s="22"/>
      <c r="LEB101" s="22"/>
      <c r="LEC101" s="22"/>
      <c r="LED101" s="22"/>
      <c r="LEE101" s="22"/>
      <c r="LEF101" s="22"/>
      <c r="LEG101" s="22"/>
      <c r="LEH101" s="22"/>
      <c r="LEI101" s="22"/>
      <c r="LEJ101" s="22"/>
      <c r="LEK101" s="22"/>
      <c r="LEL101" s="22"/>
      <c r="LEM101" s="22"/>
      <c r="LEN101" s="22"/>
      <c r="LEO101" s="22"/>
      <c r="LEP101" s="22"/>
      <c r="LEQ101" s="22"/>
      <c r="LER101" s="22"/>
      <c r="LES101" s="22"/>
      <c r="LET101" s="22"/>
      <c r="LEU101" s="22"/>
      <c r="LEV101" s="22"/>
      <c r="LEW101" s="22"/>
      <c r="LEX101" s="22"/>
      <c r="LEY101" s="22"/>
      <c r="LEZ101" s="22"/>
      <c r="LFA101" s="22"/>
      <c r="LFB101" s="22"/>
      <c r="LFC101" s="22"/>
      <c r="LFD101" s="22"/>
      <c r="LFE101" s="22"/>
      <c r="LFF101" s="22"/>
      <c r="LFG101" s="22"/>
      <c r="LFH101" s="22"/>
      <c r="LFI101" s="22"/>
      <c r="LFJ101" s="22"/>
      <c r="LFK101" s="22"/>
      <c r="LFL101" s="22"/>
      <c r="LFM101" s="22"/>
      <c r="LFN101" s="22"/>
      <c r="LFO101" s="22"/>
      <c r="LFP101" s="22"/>
      <c r="LFQ101" s="22"/>
      <c r="LFR101" s="22"/>
      <c r="LFS101" s="22"/>
      <c r="LFT101" s="22"/>
      <c r="LFU101" s="22"/>
      <c r="LFV101" s="22"/>
      <c r="LFW101" s="22"/>
      <c r="LFX101" s="22"/>
      <c r="LFY101" s="22"/>
      <c r="LFZ101" s="22"/>
      <c r="LGA101" s="22"/>
      <c r="LGB101" s="22"/>
      <c r="LGC101" s="22"/>
      <c r="LGD101" s="22"/>
      <c r="LGE101" s="22"/>
      <c r="LGF101" s="22"/>
      <c r="LGG101" s="22"/>
      <c r="LGH101" s="22"/>
      <c r="LGI101" s="22"/>
      <c r="LGJ101" s="22"/>
      <c r="LGK101" s="22"/>
      <c r="LGL101" s="22"/>
      <c r="LGM101" s="22"/>
      <c r="LGN101" s="22"/>
      <c r="LGO101" s="22"/>
      <c r="LGP101" s="22"/>
      <c r="LGQ101" s="22"/>
      <c r="LGR101" s="22"/>
      <c r="LGS101" s="22"/>
      <c r="LGT101" s="22"/>
      <c r="LGU101" s="22"/>
      <c r="LGV101" s="22"/>
      <c r="LGW101" s="22"/>
      <c r="LGX101" s="22"/>
      <c r="LGY101" s="22"/>
      <c r="LGZ101" s="22"/>
      <c r="LHA101" s="22"/>
      <c r="LHB101" s="22"/>
      <c r="LHC101" s="22"/>
      <c r="LHD101" s="22"/>
      <c r="LHE101" s="22"/>
      <c r="LHF101" s="22"/>
      <c r="LHG101" s="22"/>
      <c r="LHH101" s="22"/>
      <c r="LHI101" s="22"/>
      <c r="LHJ101" s="22"/>
      <c r="LHK101" s="22"/>
      <c r="LHL101" s="22"/>
      <c r="LHM101" s="22"/>
      <c r="LHN101" s="22"/>
      <c r="LHO101" s="22"/>
      <c r="LHP101" s="22"/>
      <c r="LHQ101" s="22"/>
      <c r="LHR101" s="22"/>
      <c r="LHS101" s="22"/>
      <c r="LHT101" s="22"/>
      <c r="LHU101" s="22"/>
      <c r="LHV101" s="22"/>
      <c r="LHW101" s="22"/>
      <c r="LHX101" s="22"/>
      <c r="LHY101" s="22"/>
      <c r="LHZ101" s="22"/>
      <c r="LIA101" s="22"/>
      <c r="LIB101" s="22"/>
      <c r="LIC101" s="22"/>
      <c r="LID101" s="22"/>
      <c r="LIE101" s="22"/>
      <c r="LIF101" s="22"/>
      <c r="LIG101" s="22"/>
      <c r="LIH101" s="22"/>
      <c r="LII101" s="22"/>
      <c r="LIJ101" s="22"/>
      <c r="LIK101" s="22"/>
      <c r="LIL101" s="22"/>
      <c r="LIM101" s="22"/>
      <c r="LIN101" s="22"/>
      <c r="LIO101" s="22"/>
      <c r="LIP101" s="22"/>
      <c r="LIQ101" s="22"/>
      <c r="LIR101" s="22"/>
      <c r="LIS101" s="22"/>
      <c r="LIT101" s="22"/>
      <c r="LIU101" s="22"/>
      <c r="LIV101" s="22"/>
      <c r="LIW101" s="22"/>
      <c r="LIX101" s="22"/>
      <c r="LIY101" s="22"/>
      <c r="LIZ101" s="22"/>
      <c r="LJA101" s="22"/>
      <c r="LJB101" s="22"/>
      <c r="LJC101" s="22"/>
      <c r="LJD101" s="22"/>
      <c r="LJE101" s="22"/>
      <c r="LJF101" s="22"/>
      <c r="LJG101" s="22"/>
      <c r="LJH101" s="22"/>
      <c r="LJI101" s="22"/>
      <c r="LJJ101" s="22"/>
      <c r="LJK101" s="22"/>
      <c r="LJL101" s="22"/>
      <c r="LJM101" s="22"/>
      <c r="LJN101" s="22"/>
      <c r="LJO101" s="22"/>
      <c r="LJP101" s="22"/>
      <c r="LJQ101" s="22"/>
      <c r="LJR101" s="22"/>
      <c r="LJS101" s="22"/>
      <c r="LJT101" s="22"/>
      <c r="LJU101" s="22"/>
      <c r="LJV101" s="22"/>
      <c r="LJW101" s="22"/>
      <c r="LJX101" s="22"/>
      <c r="LJY101" s="22"/>
      <c r="LJZ101" s="22"/>
      <c r="LKA101" s="22"/>
      <c r="LKB101" s="22"/>
      <c r="LKC101" s="22"/>
      <c r="LKD101" s="22"/>
      <c r="LKE101" s="22"/>
      <c r="LKF101" s="22"/>
      <c r="LKG101" s="22"/>
      <c r="LKH101" s="22"/>
      <c r="LKI101" s="22"/>
      <c r="LKJ101" s="22"/>
      <c r="LKK101" s="22"/>
      <c r="LKL101" s="22"/>
      <c r="LKM101" s="22"/>
      <c r="LKN101" s="22"/>
      <c r="LKO101" s="22"/>
      <c r="LKP101" s="22"/>
      <c r="LKQ101" s="22"/>
      <c r="LKR101" s="22"/>
      <c r="LKS101" s="22"/>
      <c r="LKT101" s="22"/>
      <c r="LKU101" s="22"/>
      <c r="LKV101" s="22"/>
      <c r="LKW101" s="22"/>
      <c r="LKX101" s="22"/>
      <c r="LKY101" s="22"/>
      <c r="LKZ101" s="22"/>
      <c r="LLA101" s="22"/>
      <c r="LLB101" s="22"/>
      <c r="LLC101" s="22"/>
      <c r="LLD101" s="22"/>
      <c r="LLE101" s="22"/>
      <c r="LLF101" s="22"/>
      <c r="LLG101" s="22"/>
      <c r="LLH101" s="22"/>
      <c r="LLI101" s="22"/>
      <c r="LLJ101" s="22"/>
      <c r="LLK101" s="22"/>
      <c r="LLL101" s="22"/>
      <c r="LLM101" s="22"/>
      <c r="LLN101" s="22"/>
      <c r="LLO101" s="22"/>
      <c r="LLP101" s="22"/>
      <c r="LLQ101" s="22"/>
      <c r="LLR101" s="22"/>
      <c r="LLS101" s="22"/>
      <c r="LLT101" s="22"/>
      <c r="LLU101" s="22"/>
      <c r="LLV101" s="22"/>
      <c r="LLW101" s="22"/>
      <c r="LLX101" s="22"/>
      <c r="LLY101" s="22"/>
      <c r="LLZ101" s="22"/>
      <c r="LMA101" s="22"/>
      <c r="LMB101" s="22"/>
      <c r="LMC101" s="22"/>
      <c r="LMD101" s="22"/>
      <c r="LME101" s="22"/>
      <c r="LMF101" s="22"/>
      <c r="LMG101" s="22"/>
      <c r="LMH101" s="22"/>
      <c r="LMI101" s="22"/>
      <c r="LMJ101" s="22"/>
      <c r="LMK101" s="22"/>
      <c r="LML101" s="22"/>
      <c r="LMM101" s="22"/>
      <c r="LMN101" s="22"/>
      <c r="LMO101" s="22"/>
      <c r="LMP101" s="22"/>
      <c r="LMQ101" s="22"/>
      <c r="LMR101" s="22"/>
      <c r="LMS101" s="22"/>
      <c r="LMT101" s="22"/>
      <c r="LMU101" s="22"/>
      <c r="LMV101" s="22"/>
      <c r="LMW101" s="22"/>
      <c r="LMX101" s="22"/>
      <c r="LMY101" s="22"/>
      <c r="LMZ101" s="22"/>
      <c r="LNA101" s="22"/>
      <c r="LNB101" s="22"/>
      <c r="LNC101" s="22"/>
      <c r="LND101" s="22"/>
      <c r="LNE101" s="22"/>
      <c r="LNF101" s="22"/>
      <c r="LNG101" s="22"/>
      <c r="LNH101" s="22"/>
      <c r="LNI101" s="22"/>
      <c r="LNJ101" s="22"/>
      <c r="LNK101" s="22"/>
      <c r="LNL101" s="22"/>
      <c r="LNM101" s="22"/>
      <c r="LNN101" s="22"/>
      <c r="LNO101" s="22"/>
      <c r="LNP101" s="22"/>
      <c r="LNQ101" s="22"/>
      <c r="LNR101" s="22"/>
      <c r="LNS101" s="22"/>
      <c r="LNT101" s="22"/>
      <c r="LNU101" s="22"/>
      <c r="LNV101" s="22"/>
      <c r="LNW101" s="22"/>
      <c r="LNX101" s="22"/>
      <c r="LNY101" s="22"/>
      <c r="LNZ101" s="22"/>
      <c r="LOA101" s="22"/>
      <c r="LOB101" s="22"/>
      <c r="LOC101" s="22"/>
      <c r="LOD101" s="22"/>
      <c r="LOE101" s="22"/>
      <c r="LOF101" s="22"/>
      <c r="LOG101" s="22"/>
      <c r="LOH101" s="22"/>
      <c r="LOI101" s="22"/>
      <c r="LOJ101" s="22"/>
      <c r="LOK101" s="22"/>
      <c r="LOL101" s="22"/>
      <c r="LOM101" s="22"/>
      <c r="LON101" s="22"/>
      <c r="LOO101" s="22"/>
      <c r="LOP101" s="22"/>
      <c r="LOQ101" s="22"/>
      <c r="LOR101" s="22"/>
      <c r="LOS101" s="22"/>
      <c r="LOT101" s="22"/>
      <c r="LOU101" s="22"/>
      <c r="LOV101" s="22"/>
      <c r="LOW101" s="22"/>
      <c r="LOX101" s="22"/>
      <c r="LOY101" s="22"/>
      <c r="LOZ101" s="22"/>
      <c r="LPA101" s="22"/>
      <c r="LPB101" s="22"/>
      <c r="LPC101" s="22"/>
      <c r="LPD101" s="22"/>
      <c r="LPE101" s="22"/>
      <c r="LPF101" s="22"/>
      <c r="LPG101" s="22"/>
      <c r="LPH101" s="22"/>
      <c r="LPI101" s="22"/>
      <c r="LPJ101" s="22"/>
      <c r="LPK101" s="22"/>
      <c r="LPL101" s="22"/>
      <c r="LPM101" s="22"/>
      <c r="LPN101" s="22"/>
      <c r="LPO101" s="22"/>
      <c r="LPP101" s="22"/>
      <c r="LPQ101" s="22"/>
      <c r="LPR101" s="22"/>
      <c r="LPS101" s="22"/>
      <c r="LPT101" s="22"/>
      <c r="LPU101" s="22"/>
      <c r="LPV101" s="22"/>
      <c r="LPW101" s="22"/>
      <c r="LPX101" s="22"/>
      <c r="LPY101" s="22"/>
      <c r="LPZ101" s="22"/>
      <c r="LQA101" s="22"/>
      <c r="LQB101" s="22"/>
      <c r="LQC101" s="22"/>
      <c r="LQD101" s="22"/>
      <c r="LQE101" s="22"/>
      <c r="LQF101" s="22"/>
      <c r="LQG101" s="22"/>
      <c r="LQH101" s="22"/>
      <c r="LQI101" s="22"/>
      <c r="LQJ101" s="22"/>
      <c r="LQK101" s="22"/>
      <c r="LQL101" s="22"/>
      <c r="LQM101" s="22"/>
      <c r="LQN101" s="22"/>
      <c r="LQO101" s="22"/>
      <c r="LQP101" s="22"/>
      <c r="LQQ101" s="22"/>
      <c r="LQR101" s="22"/>
      <c r="LQS101" s="22"/>
      <c r="LQT101" s="22"/>
      <c r="LQU101" s="22"/>
      <c r="LQV101" s="22"/>
      <c r="LQW101" s="22"/>
      <c r="LQX101" s="22"/>
      <c r="LQY101" s="22"/>
      <c r="LQZ101" s="22"/>
      <c r="LRA101" s="22"/>
      <c r="LRB101" s="22"/>
      <c r="LRC101" s="22"/>
      <c r="LRD101" s="22"/>
      <c r="LRE101" s="22"/>
      <c r="LRF101" s="22"/>
      <c r="LRG101" s="22"/>
      <c r="LRH101" s="22"/>
      <c r="LRI101" s="22"/>
      <c r="LRJ101" s="22"/>
      <c r="LRK101" s="22"/>
      <c r="LRL101" s="22"/>
      <c r="LRM101" s="22"/>
      <c r="LRN101" s="22"/>
      <c r="LRO101" s="22"/>
      <c r="LRP101" s="22"/>
      <c r="LRQ101" s="22"/>
      <c r="LRR101" s="22"/>
      <c r="LRS101" s="22"/>
      <c r="LRT101" s="22"/>
      <c r="LRU101" s="22"/>
      <c r="LRV101" s="22"/>
      <c r="LRW101" s="22"/>
      <c r="LRX101" s="22"/>
      <c r="LRY101" s="22"/>
      <c r="LRZ101" s="22"/>
      <c r="LSA101" s="22"/>
      <c r="LSB101" s="22"/>
      <c r="LSC101" s="22"/>
      <c r="LSD101" s="22"/>
      <c r="LSE101" s="22"/>
      <c r="LSF101" s="22"/>
      <c r="LSG101" s="22"/>
      <c r="LSH101" s="22"/>
      <c r="LSI101" s="22"/>
      <c r="LSJ101" s="22"/>
      <c r="LSK101" s="22"/>
      <c r="LSL101" s="22"/>
      <c r="LSM101" s="22"/>
      <c r="LSN101" s="22"/>
      <c r="LSO101" s="22"/>
      <c r="LSP101" s="22"/>
      <c r="LSQ101" s="22"/>
      <c r="LSR101" s="22"/>
      <c r="LSS101" s="22"/>
      <c r="LST101" s="22"/>
      <c r="LSU101" s="22"/>
      <c r="LSV101" s="22"/>
      <c r="LSW101" s="22"/>
      <c r="LSX101" s="22"/>
      <c r="LSY101" s="22"/>
      <c r="LSZ101" s="22"/>
      <c r="LTA101" s="22"/>
      <c r="LTB101" s="22"/>
      <c r="LTC101" s="22"/>
      <c r="LTD101" s="22"/>
      <c r="LTE101" s="22"/>
      <c r="LTF101" s="22"/>
      <c r="LTG101" s="22"/>
      <c r="LTH101" s="22"/>
      <c r="LTI101" s="22"/>
      <c r="LTJ101" s="22"/>
      <c r="LTK101" s="22"/>
      <c r="LTL101" s="22"/>
      <c r="LTM101" s="22"/>
      <c r="LTN101" s="22"/>
      <c r="LTO101" s="22"/>
      <c r="LTP101" s="22"/>
      <c r="LTQ101" s="22"/>
      <c r="LTR101" s="22"/>
      <c r="LTS101" s="22"/>
      <c r="LTT101" s="22"/>
      <c r="LTU101" s="22"/>
      <c r="LTV101" s="22"/>
      <c r="LTW101" s="22"/>
      <c r="LTX101" s="22"/>
      <c r="LTY101" s="22"/>
      <c r="LTZ101" s="22"/>
      <c r="LUA101" s="22"/>
      <c r="LUB101" s="22"/>
      <c r="LUC101" s="22"/>
      <c r="LUD101" s="22"/>
      <c r="LUE101" s="22"/>
      <c r="LUF101" s="22"/>
      <c r="LUG101" s="22"/>
      <c r="LUH101" s="22"/>
      <c r="LUI101" s="22"/>
      <c r="LUJ101" s="22"/>
      <c r="LUK101" s="22"/>
      <c r="LUL101" s="22"/>
      <c r="LUM101" s="22"/>
      <c r="LUN101" s="22"/>
      <c r="LUO101" s="22"/>
      <c r="LUP101" s="22"/>
      <c r="LUQ101" s="22"/>
      <c r="LUR101" s="22"/>
      <c r="LUS101" s="22"/>
      <c r="LUT101" s="22"/>
      <c r="LUU101" s="22"/>
      <c r="LUV101" s="22"/>
      <c r="LUW101" s="22"/>
      <c r="LUX101" s="22"/>
      <c r="LUY101" s="22"/>
      <c r="LUZ101" s="22"/>
      <c r="LVA101" s="22"/>
      <c r="LVB101" s="22"/>
      <c r="LVC101" s="22"/>
      <c r="LVD101" s="22"/>
      <c r="LVE101" s="22"/>
      <c r="LVF101" s="22"/>
      <c r="LVG101" s="22"/>
      <c r="LVH101" s="22"/>
      <c r="LVI101" s="22"/>
      <c r="LVJ101" s="22"/>
      <c r="LVK101" s="22"/>
      <c r="LVL101" s="22"/>
      <c r="LVM101" s="22"/>
      <c r="LVN101" s="22"/>
      <c r="LVO101" s="22"/>
      <c r="LVP101" s="22"/>
      <c r="LVQ101" s="22"/>
      <c r="LVR101" s="22"/>
      <c r="LVS101" s="22"/>
      <c r="LVT101" s="22"/>
      <c r="LVU101" s="22"/>
      <c r="LVV101" s="22"/>
      <c r="LVW101" s="22"/>
      <c r="LVX101" s="22"/>
      <c r="LVY101" s="22"/>
      <c r="LVZ101" s="22"/>
      <c r="LWA101" s="22"/>
      <c r="LWB101" s="22"/>
      <c r="LWC101" s="22"/>
      <c r="LWD101" s="22"/>
      <c r="LWE101" s="22"/>
      <c r="LWF101" s="22"/>
      <c r="LWG101" s="22"/>
      <c r="LWH101" s="22"/>
      <c r="LWI101" s="22"/>
      <c r="LWJ101" s="22"/>
      <c r="LWK101" s="22"/>
      <c r="LWL101" s="22"/>
      <c r="LWM101" s="22"/>
      <c r="LWN101" s="22"/>
      <c r="LWO101" s="22"/>
      <c r="LWP101" s="22"/>
      <c r="LWQ101" s="22"/>
      <c r="LWR101" s="22"/>
      <c r="LWS101" s="22"/>
      <c r="LWT101" s="22"/>
      <c r="LWU101" s="22"/>
      <c r="LWV101" s="22"/>
      <c r="LWW101" s="22"/>
      <c r="LWX101" s="22"/>
      <c r="LWY101" s="22"/>
      <c r="LWZ101" s="22"/>
      <c r="LXA101" s="22"/>
      <c r="LXB101" s="22"/>
      <c r="LXC101" s="22"/>
      <c r="LXD101" s="22"/>
      <c r="LXE101" s="22"/>
      <c r="LXF101" s="22"/>
      <c r="LXG101" s="22"/>
      <c r="LXH101" s="22"/>
      <c r="LXI101" s="22"/>
      <c r="LXJ101" s="22"/>
      <c r="LXK101" s="22"/>
      <c r="LXL101" s="22"/>
      <c r="LXM101" s="22"/>
      <c r="LXN101" s="22"/>
      <c r="LXO101" s="22"/>
      <c r="LXP101" s="22"/>
      <c r="LXQ101" s="22"/>
      <c r="LXR101" s="22"/>
      <c r="LXS101" s="22"/>
      <c r="LXT101" s="22"/>
      <c r="LXU101" s="22"/>
      <c r="LXV101" s="22"/>
      <c r="LXW101" s="22"/>
      <c r="LXX101" s="22"/>
      <c r="LXY101" s="22"/>
      <c r="LXZ101" s="22"/>
      <c r="LYA101" s="22"/>
      <c r="LYB101" s="22"/>
      <c r="LYC101" s="22"/>
      <c r="LYD101" s="22"/>
      <c r="LYE101" s="22"/>
      <c r="LYF101" s="22"/>
      <c r="LYG101" s="22"/>
      <c r="LYH101" s="22"/>
      <c r="LYI101" s="22"/>
      <c r="LYJ101" s="22"/>
      <c r="LYK101" s="22"/>
      <c r="LYL101" s="22"/>
      <c r="LYM101" s="22"/>
      <c r="LYN101" s="22"/>
      <c r="LYO101" s="22"/>
      <c r="LYP101" s="22"/>
      <c r="LYQ101" s="22"/>
      <c r="LYR101" s="22"/>
      <c r="LYS101" s="22"/>
      <c r="LYT101" s="22"/>
      <c r="LYU101" s="22"/>
      <c r="LYV101" s="22"/>
      <c r="LYW101" s="22"/>
      <c r="LYX101" s="22"/>
      <c r="LYY101" s="22"/>
      <c r="LYZ101" s="22"/>
      <c r="LZA101" s="22"/>
      <c r="LZB101" s="22"/>
      <c r="LZC101" s="22"/>
      <c r="LZD101" s="22"/>
      <c r="LZE101" s="22"/>
      <c r="LZF101" s="22"/>
      <c r="LZG101" s="22"/>
      <c r="LZH101" s="22"/>
      <c r="LZI101" s="22"/>
      <c r="LZJ101" s="22"/>
      <c r="LZK101" s="22"/>
      <c r="LZL101" s="22"/>
      <c r="LZM101" s="22"/>
      <c r="LZN101" s="22"/>
      <c r="LZO101" s="22"/>
      <c r="LZP101" s="22"/>
      <c r="LZQ101" s="22"/>
      <c r="LZR101" s="22"/>
      <c r="LZS101" s="22"/>
      <c r="LZT101" s="22"/>
      <c r="LZU101" s="22"/>
      <c r="LZV101" s="22"/>
      <c r="LZW101" s="22"/>
      <c r="LZX101" s="22"/>
      <c r="LZY101" s="22"/>
      <c r="LZZ101" s="22"/>
      <c r="MAA101" s="22"/>
      <c r="MAB101" s="22"/>
      <c r="MAC101" s="22"/>
      <c r="MAD101" s="22"/>
      <c r="MAE101" s="22"/>
      <c r="MAF101" s="22"/>
      <c r="MAG101" s="22"/>
      <c r="MAH101" s="22"/>
      <c r="MAI101" s="22"/>
      <c r="MAJ101" s="22"/>
      <c r="MAK101" s="22"/>
      <c r="MAL101" s="22"/>
      <c r="MAM101" s="22"/>
      <c r="MAN101" s="22"/>
      <c r="MAO101" s="22"/>
      <c r="MAP101" s="22"/>
      <c r="MAQ101" s="22"/>
      <c r="MAR101" s="22"/>
      <c r="MAS101" s="22"/>
      <c r="MAT101" s="22"/>
      <c r="MAU101" s="22"/>
      <c r="MAV101" s="22"/>
      <c r="MAW101" s="22"/>
      <c r="MAX101" s="22"/>
      <c r="MAY101" s="22"/>
      <c r="MAZ101" s="22"/>
      <c r="MBA101" s="22"/>
      <c r="MBB101" s="22"/>
      <c r="MBC101" s="22"/>
      <c r="MBD101" s="22"/>
      <c r="MBE101" s="22"/>
      <c r="MBF101" s="22"/>
      <c r="MBG101" s="22"/>
      <c r="MBH101" s="22"/>
      <c r="MBI101" s="22"/>
      <c r="MBJ101" s="22"/>
      <c r="MBK101" s="22"/>
      <c r="MBL101" s="22"/>
      <c r="MBM101" s="22"/>
      <c r="MBN101" s="22"/>
      <c r="MBO101" s="22"/>
      <c r="MBP101" s="22"/>
      <c r="MBQ101" s="22"/>
      <c r="MBR101" s="22"/>
      <c r="MBS101" s="22"/>
      <c r="MBT101" s="22"/>
      <c r="MBU101" s="22"/>
      <c r="MBV101" s="22"/>
      <c r="MBW101" s="22"/>
      <c r="MBX101" s="22"/>
      <c r="MBY101" s="22"/>
      <c r="MBZ101" s="22"/>
      <c r="MCA101" s="22"/>
      <c r="MCB101" s="22"/>
      <c r="MCC101" s="22"/>
      <c r="MCD101" s="22"/>
      <c r="MCE101" s="22"/>
      <c r="MCF101" s="22"/>
      <c r="MCG101" s="22"/>
      <c r="MCH101" s="22"/>
      <c r="MCI101" s="22"/>
      <c r="MCJ101" s="22"/>
      <c r="MCK101" s="22"/>
      <c r="MCL101" s="22"/>
      <c r="MCM101" s="22"/>
      <c r="MCN101" s="22"/>
      <c r="MCO101" s="22"/>
      <c r="MCP101" s="22"/>
      <c r="MCQ101" s="22"/>
      <c r="MCR101" s="22"/>
      <c r="MCS101" s="22"/>
      <c r="MCT101" s="22"/>
      <c r="MCU101" s="22"/>
      <c r="MCV101" s="22"/>
      <c r="MCW101" s="22"/>
      <c r="MCX101" s="22"/>
      <c r="MCY101" s="22"/>
      <c r="MCZ101" s="22"/>
      <c r="MDA101" s="22"/>
      <c r="MDB101" s="22"/>
      <c r="MDC101" s="22"/>
      <c r="MDD101" s="22"/>
      <c r="MDE101" s="22"/>
      <c r="MDF101" s="22"/>
      <c r="MDG101" s="22"/>
      <c r="MDH101" s="22"/>
      <c r="MDI101" s="22"/>
      <c r="MDJ101" s="22"/>
      <c r="MDK101" s="22"/>
      <c r="MDL101" s="22"/>
      <c r="MDM101" s="22"/>
      <c r="MDN101" s="22"/>
      <c r="MDO101" s="22"/>
      <c r="MDP101" s="22"/>
      <c r="MDQ101" s="22"/>
      <c r="MDR101" s="22"/>
      <c r="MDS101" s="22"/>
      <c r="MDT101" s="22"/>
      <c r="MDU101" s="22"/>
      <c r="MDV101" s="22"/>
      <c r="MDW101" s="22"/>
      <c r="MDX101" s="22"/>
      <c r="MDY101" s="22"/>
      <c r="MDZ101" s="22"/>
      <c r="MEA101" s="22"/>
      <c r="MEB101" s="22"/>
      <c r="MEC101" s="22"/>
      <c r="MED101" s="22"/>
      <c r="MEE101" s="22"/>
      <c r="MEF101" s="22"/>
      <c r="MEG101" s="22"/>
      <c r="MEH101" s="22"/>
      <c r="MEI101" s="22"/>
      <c r="MEJ101" s="22"/>
      <c r="MEK101" s="22"/>
      <c r="MEL101" s="22"/>
      <c r="MEM101" s="22"/>
      <c r="MEN101" s="22"/>
      <c r="MEO101" s="22"/>
      <c r="MEP101" s="22"/>
      <c r="MEQ101" s="22"/>
      <c r="MER101" s="22"/>
      <c r="MES101" s="22"/>
      <c r="MET101" s="22"/>
      <c r="MEU101" s="22"/>
      <c r="MEV101" s="22"/>
      <c r="MEW101" s="22"/>
      <c r="MEX101" s="22"/>
      <c r="MEY101" s="22"/>
      <c r="MEZ101" s="22"/>
      <c r="MFA101" s="22"/>
      <c r="MFB101" s="22"/>
      <c r="MFC101" s="22"/>
      <c r="MFD101" s="22"/>
      <c r="MFE101" s="22"/>
      <c r="MFF101" s="22"/>
      <c r="MFG101" s="22"/>
      <c r="MFH101" s="22"/>
      <c r="MFI101" s="22"/>
      <c r="MFJ101" s="22"/>
      <c r="MFK101" s="22"/>
      <c r="MFL101" s="22"/>
      <c r="MFM101" s="22"/>
      <c r="MFN101" s="22"/>
      <c r="MFO101" s="22"/>
      <c r="MFP101" s="22"/>
      <c r="MFQ101" s="22"/>
      <c r="MFR101" s="22"/>
      <c r="MFS101" s="22"/>
      <c r="MFT101" s="22"/>
      <c r="MFU101" s="22"/>
      <c r="MFV101" s="22"/>
      <c r="MFW101" s="22"/>
      <c r="MFX101" s="22"/>
      <c r="MFY101" s="22"/>
      <c r="MFZ101" s="22"/>
      <c r="MGA101" s="22"/>
      <c r="MGB101" s="22"/>
      <c r="MGC101" s="22"/>
      <c r="MGD101" s="22"/>
      <c r="MGE101" s="22"/>
      <c r="MGF101" s="22"/>
      <c r="MGG101" s="22"/>
      <c r="MGH101" s="22"/>
      <c r="MGI101" s="22"/>
      <c r="MGJ101" s="22"/>
      <c r="MGK101" s="22"/>
      <c r="MGL101" s="22"/>
      <c r="MGM101" s="22"/>
      <c r="MGN101" s="22"/>
      <c r="MGO101" s="22"/>
      <c r="MGP101" s="22"/>
      <c r="MGQ101" s="22"/>
      <c r="MGR101" s="22"/>
      <c r="MGS101" s="22"/>
      <c r="MGT101" s="22"/>
      <c r="MGU101" s="22"/>
      <c r="MGV101" s="22"/>
      <c r="MGW101" s="22"/>
      <c r="MGX101" s="22"/>
      <c r="MGY101" s="22"/>
      <c r="MGZ101" s="22"/>
      <c r="MHA101" s="22"/>
      <c r="MHB101" s="22"/>
      <c r="MHC101" s="22"/>
      <c r="MHD101" s="22"/>
      <c r="MHE101" s="22"/>
      <c r="MHF101" s="22"/>
      <c r="MHG101" s="22"/>
      <c r="MHH101" s="22"/>
      <c r="MHI101" s="22"/>
      <c r="MHJ101" s="22"/>
      <c r="MHK101" s="22"/>
      <c r="MHL101" s="22"/>
      <c r="MHM101" s="22"/>
      <c r="MHN101" s="22"/>
      <c r="MHO101" s="22"/>
      <c r="MHP101" s="22"/>
      <c r="MHQ101" s="22"/>
      <c r="MHR101" s="22"/>
      <c r="MHS101" s="22"/>
      <c r="MHT101" s="22"/>
      <c r="MHU101" s="22"/>
      <c r="MHV101" s="22"/>
      <c r="MHW101" s="22"/>
      <c r="MHX101" s="22"/>
      <c r="MHY101" s="22"/>
      <c r="MHZ101" s="22"/>
      <c r="MIA101" s="22"/>
      <c r="MIB101" s="22"/>
      <c r="MIC101" s="22"/>
      <c r="MID101" s="22"/>
      <c r="MIE101" s="22"/>
      <c r="MIF101" s="22"/>
      <c r="MIG101" s="22"/>
      <c r="MIH101" s="22"/>
      <c r="MII101" s="22"/>
      <c r="MIJ101" s="22"/>
      <c r="MIK101" s="22"/>
      <c r="MIL101" s="22"/>
      <c r="MIM101" s="22"/>
      <c r="MIN101" s="22"/>
      <c r="MIO101" s="22"/>
      <c r="MIP101" s="22"/>
      <c r="MIQ101" s="22"/>
      <c r="MIR101" s="22"/>
      <c r="MIS101" s="22"/>
      <c r="MIT101" s="22"/>
      <c r="MIU101" s="22"/>
      <c r="MIV101" s="22"/>
      <c r="MIW101" s="22"/>
      <c r="MIX101" s="22"/>
      <c r="MIY101" s="22"/>
      <c r="MIZ101" s="22"/>
      <c r="MJA101" s="22"/>
      <c r="MJB101" s="22"/>
      <c r="MJC101" s="22"/>
      <c r="MJD101" s="22"/>
      <c r="MJE101" s="22"/>
      <c r="MJF101" s="22"/>
      <c r="MJG101" s="22"/>
      <c r="MJH101" s="22"/>
      <c r="MJI101" s="22"/>
      <c r="MJJ101" s="22"/>
      <c r="MJK101" s="22"/>
      <c r="MJL101" s="22"/>
      <c r="MJM101" s="22"/>
      <c r="MJN101" s="22"/>
      <c r="MJO101" s="22"/>
      <c r="MJP101" s="22"/>
      <c r="MJQ101" s="22"/>
      <c r="MJR101" s="22"/>
      <c r="MJS101" s="22"/>
      <c r="MJT101" s="22"/>
      <c r="MJU101" s="22"/>
      <c r="MJV101" s="22"/>
      <c r="MJW101" s="22"/>
      <c r="MJX101" s="22"/>
      <c r="MJY101" s="22"/>
      <c r="MJZ101" s="22"/>
      <c r="MKA101" s="22"/>
      <c r="MKB101" s="22"/>
      <c r="MKC101" s="22"/>
      <c r="MKD101" s="22"/>
      <c r="MKE101" s="22"/>
      <c r="MKF101" s="22"/>
      <c r="MKG101" s="22"/>
      <c r="MKH101" s="22"/>
      <c r="MKI101" s="22"/>
      <c r="MKJ101" s="22"/>
      <c r="MKK101" s="22"/>
      <c r="MKL101" s="22"/>
      <c r="MKM101" s="22"/>
      <c r="MKN101" s="22"/>
      <c r="MKO101" s="22"/>
      <c r="MKP101" s="22"/>
      <c r="MKQ101" s="22"/>
      <c r="MKR101" s="22"/>
      <c r="MKS101" s="22"/>
      <c r="MKT101" s="22"/>
      <c r="MKU101" s="22"/>
      <c r="MKV101" s="22"/>
      <c r="MKW101" s="22"/>
      <c r="MKX101" s="22"/>
      <c r="MKY101" s="22"/>
      <c r="MKZ101" s="22"/>
      <c r="MLA101" s="22"/>
      <c r="MLB101" s="22"/>
      <c r="MLC101" s="22"/>
      <c r="MLD101" s="22"/>
      <c r="MLE101" s="22"/>
      <c r="MLF101" s="22"/>
      <c r="MLG101" s="22"/>
      <c r="MLH101" s="22"/>
      <c r="MLI101" s="22"/>
      <c r="MLJ101" s="22"/>
      <c r="MLK101" s="22"/>
      <c r="MLL101" s="22"/>
      <c r="MLM101" s="22"/>
      <c r="MLN101" s="22"/>
      <c r="MLO101" s="22"/>
      <c r="MLP101" s="22"/>
      <c r="MLQ101" s="22"/>
      <c r="MLR101" s="22"/>
      <c r="MLS101" s="22"/>
      <c r="MLT101" s="22"/>
      <c r="MLU101" s="22"/>
      <c r="MLV101" s="22"/>
      <c r="MLW101" s="22"/>
      <c r="MLX101" s="22"/>
      <c r="MLY101" s="22"/>
      <c r="MLZ101" s="22"/>
      <c r="MMA101" s="22"/>
      <c r="MMB101" s="22"/>
      <c r="MMC101" s="22"/>
      <c r="MMD101" s="22"/>
      <c r="MME101" s="22"/>
      <c r="MMF101" s="22"/>
      <c r="MMG101" s="22"/>
      <c r="MMH101" s="22"/>
      <c r="MMI101" s="22"/>
      <c r="MMJ101" s="22"/>
      <c r="MMK101" s="22"/>
      <c r="MML101" s="22"/>
      <c r="MMM101" s="22"/>
      <c r="MMN101" s="22"/>
      <c r="MMO101" s="22"/>
      <c r="MMP101" s="22"/>
      <c r="MMQ101" s="22"/>
      <c r="MMR101" s="22"/>
      <c r="MMS101" s="22"/>
      <c r="MMT101" s="22"/>
      <c r="MMU101" s="22"/>
      <c r="MMV101" s="22"/>
      <c r="MMW101" s="22"/>
      <c r="MMX101" s="22"/>
      <c r="MMY101" s="22"/>
      <c r="MMZ101" s="22"/>
      <c r="MNA101" s="22"/>
      <c r="MNB101" s="22"/>
      <c r="MNC101" s="22"/>
      <c r="MND101" s="22"/>
      <c r="MNE101" s="22"/>
      <c r="MNF101" s="22"/>
      <c r="MNG101" s="22"/>
      <c r="MNH101" s="22"/>
      <c r="MNI101" s="22"/>
      <c r="MNJ101" s="22"/>
      <c r="MNK101" s="22"/>
      <c r="MNL101" s="22"/>
      <c r="MNM101" s="22"/>
      <c r="MNN101" s="22"/>
      <c r="MNO101" s="22"/>
      <c r="MNP101" s="22"/>
      <c r="MNQ101" s="22"/>
      <c r="MNR101" s="22"/>
      <c r="MNS101" s="22"/>
      <c r="MNT101" s="22"/>
      <c r="MNU101" s="22"/>
      <c r="MNV101" s="22"/>
      <c r="MNW101" s="22"/>
      <c r="MNX101" s="22"/>
      <c r="MNY101" s="22"/>
      <c r="MNZ101" s="22"/>
      <c r="MOA101" s="22"/>
      <c r="MOB101" s="22"/>
      <c r="MOC101" s="22"/>
      <c r="MOD101" s="22"/>
      <c r="MOE101" s="22"/>
      <c r="MOF101" s="22"/>
      <c r="MOG101" s="22"/>
      <c r="MOH101" s="22"/>
      <c r="MOI101" s="22"/>
      <c r="MOJ101" s="22"/>
      <c r="MOK101" s="22"/>
      <c r="MOL101" s="22"/>
      <c r="MOM101" s="22"/>
      <c r="MON101" s="22"/>
      <c r="MOO101" s="22"/>
      <c r="MOP101" s="22"/>
      <c r="MOQ101" s="22"/>
      <c r="MOR101" s="22"/>
      <c r="MOS101" s="22"/>
      <c r="MOT101" s="22"/>
      <c r="MOU101" s="22"/>
      <c r="MOV101" s="22"/>
      <c r="MOW101" s="22"/>
      <c r="MOX101" s="22"/>
      <c r="MOY101" s="22"/>
      <c r="MOZ101" s="22"/>
      <c r="MPA101" s="22"/>
      <c r="MPB101" s="22"/>
      <c r="MPC101" s="22"/>
      <c r="MPD101" s="22"/>
      <c r="MPE101" s="22"/>
      <c r="MPF101" s="22"/>
      <c r="MPG101" s="22"/>
      <c r="MPH101" s="22"/>
      <c r="MPI101" s="22"/>
      <c r="MPJ101" s="22"/>
      <c r="MPK101" s="22"/>
      <c r="MPL101" s="22"/>
      <c r="MPM101" s="22"/>
      <c r="MPN101" s="22"/>
      <c r="MPO101" s="22"/>
      <c r="MPP101" s="22"/>
      <c r="MPQ101" s="22"/>
      <c r="MPR101" s="22"/>
      <c r="MPS101" s="22"/>
      <c r="MPT101" s="22"/>
      <c r="MPU101" s="22"/>
      <c r="MPV101" s="22"/>
      <c r="MPW101" s="22"/>
      <c r="MPX101" s="22"/>
      <c r="MPY101" s="22"/>
      <c r="MPZ101" s="22"/>
      <c r="MQA101" s="22"/>
      <c r="MQB101" s="22"/>
      <c r="MQC101" s="22"/>
      <c r="MQD101" s="22"/>
      <c r="MQE101" s="22"/>
      <c r="MQF101" s="22"/>
      <c r="MQG101" s="22"/>
      <c r="MQH101" s="22"/>
      <c r="MQI101" s="22"/>
      <c r="MQJ101" s="22"/>
      <c r="MQK101" s="22"/>
      <c r="MQL101" s="22"/>
      <c r="MQM101" s="22"/>
      <c r="MQN101" s="22"/>
      <c r="MQO101" s="22"/>
      <c r="MQP101" s="22"/>
      <c r="MQQ101" s="22"/>
      <c r="MQR101" s="22"/>
      <c r="MQS101" s="22"/>
      <c r="MQT101" s="22"/>
      <c r="MQU101" s="22"/>
      <c r="MQV101" s="22"/>
      <c r="MQW101" s="22"/>
      <c r="MQX101" s="22"/>
      <c r="MQY101" s="22"/>
      <c r="MQZ101" s="22"/>
      <c r="MRA101" s="22"/>
      <c r="MRB101" s="22"/>
      <c r="MRC101" s="22"/>
      <c r="MRD101" s="22"/>
      <c r="MRE101" s="22"/>
      <c r="MRF101" s="22"/>
      <c r="MRG101" s="22"/>
      <c r="MRH101" s="22"/>
      <c r="MRI101" s="22"/>
      <c r="MRJ101" s="22"/>
      <c r="MRK101" s="22"/>
      <c r="MRL101" s="22"/>
      <c r="MRM101" s="22"/>
      <c r="MRN101" s="22"/>
      <c r="MRO101" s="22"/>
      <c r="MRP101" s="22"/>
      <c r="MRQ101" s="22"/>
      <c r="MRR101" s="22"/>
      <c r="MRS101" s="22"/>
      <c r="MRT101" s="22"/>
      <c r="MRU101" s="22"/>
      <c r="MRV101" s="22"/>
      <c r="MRW101" s="22"/>
      <c r="MRX101" s="22"/>
      <c r="MRY101" s="22"/>
      <c r="MRZ101" s="22"/>
      <c r="MSA101" s="22"/>
      <c r="MSB101" s="22"/>
      <c r="MSC101" s="22"/>
      <c r="MSD101" s="22"/>
      <c r="MSE101" s="22"/>
      <c r="MSF101" s="22"/>
      <c r="MSG101" s="22"/>
      <c r="MSH101" s="22"/>
      <c r="MSI101" s="22"/>
      <c r="MSJ101" s="22"/>
      <c r="MSK101" s="22"/>
      <c r="MSL101" s="22"/>
      <c r="MSM101" s="22"/>
      <c r="MSN101" s="22"/>
      <c r="MSO101" s="22"/>
      <c r="MSP101" s="22"/>
      <c r="MSQ101" s="22"/>
      <c r="MSR101" s="22"/>
      <c r="MSS101" s="22"/>
      <c r="MST101" s="22"/>
      <c r="MSU101" s="22"/>
      <c r="MSV101" s="22"/>
      <c r="MSW101" s="22"/>
      <c r="MSX101" s="22"/>
      <c r="MSY101" s="22"/>
      <c r="MSZ101" s="22"/>
      <c r="MTA101" s="22"/>
      <c r="MTB101" s="22"/>
      <c r="MTC101" s="22"/>
      <c r="MTD101" s="22"/>
      <c r="MTE101" s="22"/>
      <c r="MTF101" s="22"/>
      <c r="MTG101" s="22"/>
      <c r="MTH101" s="22"/>
      <c r="MTI101" s="22"/>
      <c r="MTJ101" s="22"/>
      <c r="MTK101" s="22"/>
      <c r="MTL101" s="22"/>
      <c r="MTM101" s="22"/>
      <c r="MTN101" s="22"/>
      <c r="MTO101" s="22"/>
      <c r="MTP101" s="22"/>
      <c r="MTQ101" s="22"/>
      <c r="MTR101" s="22"/>
      <c r="MTS101" s="22"/>
      <c r="MTT101" s="22"/>
      <c r="MTU101" s="22"/>
      <c r="MTV101" s="22"/>
      <c r="MTW101" s="22"/>
      <c r="MTX101" s="22"/>
      <c r="MTY101" s="22"/>
      <c r="MTZ101" s="22"/>
      <c r="MUA101" s="22"/>
      <c r="MUB101" s="22"/>
      <c r="MUC101" s="22"/>
      <c r="MUD101" s="22"/>
      <c r="MUE101" s="22"/>
      <c r="MUF101" s="22"/>
      <c r="MUG101" s="22"/>
      <c r="MUH101" s="22"/>
      <c r="MUI101" s="22"/>
      <c r="MUJ101" s="22"/>
      <c r="MUK101" s="22"/>
      <c r="MUL101" s="22"/>
      <c r="MUM101" s="22"/>
      <c r="MUN101" s="22"/>
      <c r="MUO101" s="22"/>
      <c r="MUP101" s="22"/>
      <c r="MUQ101" s="22"/>
      <c r="MUR101" s="22"/>
      <c r="MUS101" s="22"/>
      <c r="MUT101" s="22"/>
      <c r="MUU101" s="22"/>
      <c r="MUV101" s="22"/>
      <c r="MUW101" s="22"/>
      <c r="MUX101" s="22"/>
      <c r="MUY101" s="22"/>
      <c r="MUZ101" s="22"/>
      <c r="MVA101" s="22"/>
      <c r="MVB101" s="22"/>
      <c r="MVC101" s="22"/>
      <c r="MVD101" s="22"/>
      <c r="MVE101" s="22"/>
      <c r="MVF101" s="22"/>
      <c r="MVG101" s="22"/>
      <c r="MVH101" s="22"/>
      <c r="MVI101" s="22"/>
      <c r="MVJ101" s="22"/>
      <c r="MVK101" s="22"/>
      <c r="MVL101" s="22"/>
      <c r="MVM101" s="22"/>
      <c r="MVN101" s="22"/>
      <c r="MVO101" s="22"/>
      <c r="MVP101" s="22"/>
      <c r="MVQ101" s="22"/>
      <c r="MVR101" s="22"/>
      <c r="MVS101" s="22"/>
      <c r="MVT101" s="22"/>
      <c r="MVU101" s="22"/>
      <c r="MVV101" s="22"/>
      <c r="MVW101" s="22"/>
      <c r="MVX101" s="22"/>
      <c r="MVY101" s="22"/>
      <c r="MVZ101" s="22"/>
      <c r="MWA101" s="22"/>
      <c r="MWB101" s="22"/>
      <c r="MWC101" s="22"/>
      <c r="MWD101" s="22"/>
      <c r="MWE101" s="22"/>
      <c r="MWF101" s="22"/>
      <c r="MWG101" s="22"/>
      <c r="MWH101" s="22"/>
      <c r="MWI101" s="22"/>
      <c r="MWJ101" s="22"/>
      <c r="MWK101" s="22"/>
      <c r="MWL101" s="22"/>
      <c r="MWM101" s="22"/>
      <c r="MWN101" s="22"/>
      <c r="MWO101" s="22"/>
      <c r="MWP101" s="22"/>
      <c r="MWQ101" s="22"/>
      <c r="MWR101" s="22"/>
      <c r="MWS101" s="22"/>
      <c r="MWT101" s="22"/>
      <c r="MWU101" s="22"/>
      <c r="MWV101" s="22"/>
      <c r="MWW101" s="22"/>
      <c r="MWX101" s="22"/>
      <c r="MWY101" s="22"/>
      <c r="MWZ101" s="22"/>
      <c r="MXA101" s="22"/>
      <c r="MXB101" s="22"/>
      <c r="MXC101" s="22"/>
      <c r="MXD101" s="22"/>
      <c r="MXE101" s="22"/>
      <c r="MXF101" s="22"/>
      <c r="MXG101" s="22"/>
      <c r="MXH101" s="22"/>
      <c r="MXI101" s="22"/>
      <c r="MXJ101" s="22"/>
      <c r="MXK101" s="22"/>
      <c r="MXL101" s="22"/>
      <c r="MXM101" s="22"/>
      <c r="MXN101" s="22"/>
      <c r="MXO101" s="22"/>
      <c r="MXP101" s="22"/>
      <c r="MXQ101" s="22"/>
      <c r="MXR101" s="22"/>
      <c r="MXS101" s="22"/>
      <c r="MXT101" s="22"/>
      <c r="MXU101" s="22"/>
      <c r="MXV101" s="22"/>
      <c r="MXW101" s="22"/>
      <c r="MXX101" s="22"/>
      <c r="MXY101" s="22"/>
      <c r="MXZ101" s="22"/>
      <c r="MYA101" s="22"/>
      <c r="MYB101" s="22"/>
      <c r="MYC101" s="22"/>
      <c r="MYD101" s="22"/>
      <c r="MYE101" s="22"/>
      <c r="MYF101" s="22"/>
      <c r="MYG101" s="22"/>
      <c r="MYH101" s="22"/>
      <c r="MYI101" s="22"/>
      <c r="MYJ101" s="22"/>
      <c r="MYK101" s="22"/>
      <c r="MYL101" s="22"/>
      <c r="MYM101" s="22"/>
      <c r="MYN101" s="22"/>
      <c r="MYO101" s="22"/>
      <c r="MYP101" s="22"/>
      <c r="MYQ101" s="22"/>
      <c r="MYR101" s="22"/>
      <c r="MYS101" s="22"/>
      <c r="MYT101" s="22"/>
      <c r="MYU101" s="22"/>
      <c r="MYV101" s="22"/>
      <c r="MYW101" s="22"/>
      <c r="MYX101" s="22"/>
      <c r="MYY101" s="22"/>
      <c r="MYZ101" s="22"/>
      <c r="MZA101" s="22"/>
      <c r="MZB101" s="22"/>
      <c r="MZC101" s="22"/>
      <c r="MZD101" s="22"/>
      <c r="MZE101" s="22"/>
      <c r="MZF101" s="22"/>
      <c r="MZG101" s="22"/>
      <c r="MZH101" s="22"/>
      <c r="MZI101" s="22"/>
      <c r="MZJ101" s="22"/>
      <c r="MZK101" s="22"/>
      <c r="MZL101" s="22"/>
      <c r="MZM101" s="22"/>
      <c r="MZN101" s="22"/>
      <c r="MZO101" s="22"/>
      <c r="MZP101" s="22"/>
      <c r="MZQ101" s="22"/>
      <c r="MZR101" s="22"/>
      <c r="MZS101" s="22"/>
      <c r="MZT101" s="22"/>
      <c r="MZU101" s="22"/>
      <c r="MZV101" s="22"/>
      <c r="MZW101" s="22"/>
      <c r="MZX101" s="22"/>
      <c r="MZY101" s="22"/>
      <c r="MZZ101" s="22"/>
      <c r="NAA101" s="22"/>
      <c r="NAB101" s="22"/>
      <c r="NAC101" s="22"/>
      <c r="NAD101" s="22"/>
      <c r="NAE101" s="22"/>
      <c r="NAF101" s="22"/>
      <c r="NAG101" s="22"/>
      <c r="NAH101" s="22"/>
      <c r="NAI101" s="22"/>
      <c r="NAJ101" s="22"/>
      <c r="NAK101" s="22"/>
      <c r="NAL101" s="22"/>
      <c r="NAM101" s="22"/>
      <c r="NAN101" s="22"/>
      <c r="NAO101" s="22"/>
      <c r="NAP101" s="22"/>
      <c r="NAQ101" s="22"/>
      <c r="NAR101" s="22"/>
      <c r="NAS101" s="22"/>
      <c r="NAT101" s="22"/>
      <c r="NAU101" s="22"/>
      <c r="NAV101" s="22"/>
      <c r="NAW101" s="22"/>
      <c r="NAX101" s="22"/>
      <c r="NAY101" s="22"/>
      <c r="NAZ101" s="22"/>
      <c r="NBA101" s="22"/>
      <c r="NBB101" s="22"/>
      <c r="NBC101" s="22"/>
      <c r="NBD101" s="22"/>
      <c r="NBE101" s="22"/>
      <c r="NBF101" s="22"/>
      <c r="NBG101" s="22"/>
      <c r="NBH101" s="22"/>
      <c r="NBI101" s="22"/>
      <c r="NBJ101" s="22"/>
      <c r="NBK101" s="22"/>
      <c r="NBL101" s="22"/>
      <c r="NBM101" s="22"/>
      <c r="NBN101" s="22"/>
      <c r="NBO101" s="22"/>
      <c r="NBP101" s="22"/>
      <c r="NBQ101" s="22"/>
      <c r="NBR101" s="22"/>
      <c r="NBS101" s="22"/>
      <c r="NBT101" s="22"/>
      <c r="NBU101" s="22"/>
      <c r="NBV101" s="22"/>
      <c r="NBW101" s="22"/>
      <c r="NBX101" s="22"/>
      <c r="NBY101" s="22"/>
      <c r="NBZ101" s="22"/>
      <c r="NCA101" s="22"/>
      <c r="NCB101" s="22"/>
      <c r="NCC101" s="22"/>
      <c r="NCD101" s="22"/>
      <c r="NCE101" s="22"/>
      <c r="NCF101" s="22"/>
      <c r="NCG101" s="22"/>
      <c r="NCH101" s="22"/>
      <c r="NCI101" s="22"/>
      <c r="NCJ101" s="22"/>
      <c r="NCK101" s="22"/>
      <c r="NCL101" s="22"/>
      <c r="NCM101" s="22"/>
      <c r="NCN101" s="22"/>
      <c r="NCO101" s="22"/>
      <c r="NCP101" s="22"/>
      <c r="NCQ101" s="22"/>
      <c r="NCR101" s="22"/>
      <c r="NCS101" s="22"/>
      <c r="NCT101" s="22"/>
      <c r="NCU101" s="22"/>
      <c r="NCV101" s="22"/>
      <c r="NCW101" s="22"/>
      <c r="NCX101" s="22"/>
      <c r="NCY101" s="22"/>
      <c r="NCZ101" s="22"/>
      <c r="NDA101" s="22"/>
      <c r="NDB101" s="22"/>
      <c r="NDC101" s="22"/>
      <c r="NDD101" s="22"/>
      <c r="NDE101" s="22"/>
      <c r="NDF101" s="22"/>
      <c r="NDG101" s="22"/>
      <c r="NDH101" s="22"/>
      <c r="NDI101" s="22"/>
      <c r="NDJ101" s="22"/>
      <c r="NDK101" s="22"/>
      <c r="NDL101" s="22"/>
      <c r="NDM101" s="22"/>
      <c r="NDN101" s="22"/>
      <c r="NDO101" s="22"/>
      <c r="NDP101" s="22"/>
      <c r="NDQ101" s="22"/>
      <c r="NDR101" s="22"/>
      <c r="NDS101" s="22"/>
      <c r="NDT101" s="22"/>
      <c r="NDU101" s="22"/>
      <c r="NDV101" s="22"/>
      <c r="NDW101" s="22"/>
      <c r="NDX101" s="22"/>
      <c r="NDY101" s="22"/>
      <c r="NDZ101" s="22"/>
      <c r="NEA101" s="22"/>
      <c r="NEB101" s="22"/>
      <c r="NEC101" s="22"/>
      <c r="NED101" s="22"/>
      <c r="NEE101" s="22"/>
      <c r="NEF101" s="22"/>
      <c r="NEG101" s="22"/>
      <c r="NEH101" s="22"/>
      <c r="NEI101" s="22"/>
      <c r="NEJ101" s="22"/>
      <c r="NEK101" s="22"/>
      <c r="NEL101" s="22"/>
      <c r="NEM101" s="22"/>
      <c r="NEN101" s="22"/>
      <c r="NEO101" s="22"/>
      <c r="NEP101" s="22"/>
      <c r="NEQ101" s="22"/>
      <c r="NER101" s="22"/>
      <c r="NES101" s="22"/>
      <c r="NET101" s="22"/>
      <c r="NEU101" s="22"/>
      <c r="NEV101" s="22"/>
      <c r="NEW101" s="22"/>
      <c r="NEX101" s="22"/>
      <c r="NEY101" s="22"/>
      <c r="NEZ101" s="22"/>
      <c r="NFA101" s="22"/>
      <c r="NFB101" s="22"/>
      <c r="NFC101" s="22"/>
      <c r="NFD101" s="22"/>
      <c r="NFE101" s="22"/>
      <c r="NFF101" s="22"/>
      <c r="NFG101" s="22"/>
      <c r="NFH101" s="22"/>
      <c r="NFI101" s="22"/>
      <c r="NFJ101" s="22"/>
      <c r="NFK101" s="22"/>
      <c r="NFL101" s="22"/>
      <c r="NFM101" s="22"/>
      <c r="NFN101" s="22"/>
      <c r="NFO101" s="22"/>
      <c r="NFP101" s="22"/>
      <c r="NFQ101" s="22"/>
      <c r="NFR101" s="22"/>
      <c r="NFS101" s="22"/>
      <c r="NFT101" s="22"/>
      <c r="NFU101" s="22"/>
      <c r="NFV101" s="22"/>
      <c r="NFW101" s="22"/>
      <c r="NFX101" s="22"/>
      <c r="NFY101" s="22"/>
      <c r="NFZ101" s="22"/>
      <c r="NGA101" s="22"/>
      <c r="NGB101" s="22"/>
      <c r="NGC101" s="22"/>
      <c r="NGD101" s="22"/>
      <c r="NGE101" s="22"/>
      <c r="NGF101" s="22"/>
      <c r="NGG101" s="22"/>
      <c r="NGH101" s="22"/>
      <c r="NGI101" s="22"/>
      <c r="NGJ101" s="22"/>
      <c r="NGK101" s="22"/>
      <c r="NGL101" s="22"/>
      <c r="NGM101" s="22"/>
      <c r="NGN101" s="22"/>
      <c r="NGO101" s="22"/>
      <c r="NGP101" s="22"/>
      <c r="NGQ101" s="22"/>
      <c r="NGR101" s="22"/>
      <c r="NGS101" s="22"/>
      <c r="NGT101" s="22"/>
      <c r="NGU101" s="22"/>
      <c r="NGV101" s="22"/>
      <c r="NGW101" s="22"/>
      <c r="NGX101" s="22"/>
      <c r="NGY101" s="22"/>
      <c r="NGZ101" s="22"/>
      <c r="NHA101" s="22"/>
      <c r="NHB101" s="22"/>
      <c r="NHC101" s="22"/>
      <c r="NHD101" s="22"/>
      <c r="NHE101" s="22"/>
      <c r="NHF101" s="22"/>
      <c r="NHG101" s="22"/>
      <c r="NHH101" s="22"/>
      <c r="NHI101" s="22"/>
      <c r="NHJ101" s="22"/>
      <c r="NHK101" s="22"/>
      <c r="NHL101" s="22"/>
      <c r="NHM101" s="22"/>
      <c r="NHN101" s="22"/>
      <c r="NHO101" s="22"/>
      <c r="NHP101" s="22"/>
      <c r="NHQ101" s="22"/>
      <c r="NHR101" s="22"/>
      <c r="NHS101" s="22"/>
      <c r="NHT101" s="22"/>
      <c r="NHU101" s="22"/>
      <c r="NHV101" s="22"/>
      <c r="NHW101" s="22"/>
      <c r="NHX101" s="22"/>
      <c r="NHY101" s="22"/>
      <c r="NHZ101" s="22"/>
      <c r="NIA101" s="22"/>
      <c r="NIB101" s="22"/>
      <c r="NIC101" s="22"/>
      <c r="NID101" s="22"/>
      <c r="NIE101" s="22"/>
      <c r="NIF101" s="22"/>
      <c r="NIG101" s="22"/>
      <c r="NIH101" s="22"/>
      <c r="NII101" s="22"/>
      <c r="NIJ101" s="22"/>
      <c r="NIK101" s="22"/>
      <c r="NIL101" s="22"/>
      <c r="NIM101" s="22"/>
      <c r="NIN101" s="22"/>
      <c r="NIO101" s="22"/>
      <c r="NIP101" s="22"/>
      <c r="NIQ101" s="22"/>
      <c r="NIR101" s="22"/>
      <c r="NIS101" s="22"/>
      <c r="NIT101" s="22"/>
      <c r="NIU101" s="22"/>
      <c r="NIV101" s="22"/>
      <c r="NIW101" s="22"/>
      <c r="NIX101" s="22"/>
      <c r="NIY101" s="22"/>
      <c r="NIZ101" s="22"/>
      <c r="NJA101" s="22"/>
      <c r="NJB101" s="22"/>
      <c r="NJC101" s="22"/>
      <c r="NJD101" s="22"/>
      <c r="NJE101" s="22"/>
      <c r="NJF101" s="22"/>
      <c r="NJG101" s="22"/>
      <c r="NJH101" s="22"/>
      <c r="NJI101" s="22"/>
      <c r="NJJ101" s="22"/>
      <c r="NJK101" s="22"/>
      <c r="NJL101" s="22"/>
      <c r="NJM101" s="22"/>
      <c r="NJN101" s="22"/>
      <c r="NJO101" s="22"/>
      <c r="NJP101" s="22"/>
      <c r="NJQ101" s="22"/>
      <c r="NJR101" s="22"/>
      <c r="NJS101" s="22"/>
      <c r="NJT101" s="22"/>
      <c r="NJU101" s="22"/>
      <c r="NJV101" s="22"/>
      <c r="NJW101" s="22"/>
      <c r="NJX101" s="22"/>
      <c r="NJY101" s="22"/>
      <c r="NJZ101" s="22"/>
      <c r="NKA101" s="22"/>
      <c r="NKB101" s="22"/>
      <c r="NKC101" s="22"/>
      <c r="NKD101" s="22"/>
      <c r="NKE101" s="22"/>
      <c r="NKF101" s="22"/>
      <c r="NKG101" s="22"/>
      <c r="NKH101" s="22"/>
      <c r="NKI101" s="22"/>
      <c r="NKJ101" s="22"/>
      <c r="NKK101" s="22"/>
      <c r="NKL101" s="22"/>
      <c r="NKM101" s="22"/>
      <c r="NKN101" s="22"/>
      <c r="NKO101" s="22"/>
      <c r="NKP101" s="22"/>
      <c r="NKQ101" s="22"/>
      <c r="NKR101" s="22"/>
      <c r="NKS101" s="22"/>
      <c r="NKT101" s="22"/>
      <c r="NKU101" s="22"/>
      <c r="NKV101" s="22"/>
      <c r="NKW101" s="22"/>
      <c r="NKX101" s="22"/>
      <c r="NKY101" s="22"/>
      <c r="NKZ101" s="22"/>
      <c r="NLA101" s="22"/>
      <c r="NLB101" s="22"/>
      <c r="NLC101" s="22"/>
      <c r="NLD101" s="22"/>
      <c r="NLE101" s="22"/>
      <c r="NLF101" s="22"/>
      <c r="NLG101" s="22"/>
      <c r="NLH101" s="22"/>
      <c r="NLI101" s="22"/>
      <c r="NLJ101" s="22"/>
      <c r="NLK101" s="22"/>
      <c r="NLL101" s="22"/>
      <c r="NLM101" s="22"/>
      <c r="NLN101" s="22"/>
      <c r="NLO101" s="22"/>
      <c r="NLP101" s="22"/>
      <c r="NLQ101" s="22"/>
      <c r="NLR101" s="22"/>
      <c r="NLS101" s="22"/>
      <c r="NLT101" s="22"/>
      <c r="NLU101" s="22"/>
      <c r="NLV101" s="22"/>
      <c r="NLW101" s="22"/>
      <c r="NLX101" s="22"/>
      <c r="NLY101" s="22"/>
      <c r="NLZ101" s="22"/>
      <c r="NMA101" s="22"/>
      <c r="NMB101" s="22"/>
      <c r="NMC101" s="22"/>
      <c r="NMD101" s="22"/>
      <c r="NME101" s="22"/>
      <c r="NMF101" s="22"/>
      <c r="NMG101" s="22"/>
      <c r="NMH101" s="22"/>
      <c r="NMI101" s="22"/>
      <c r="NMJ101" s="22"/>
      <c r="NMK101" s="22"/>
      <c r="NML101" s="22"/>
      <c r="NMM101" s="22"/>
      <c r="NMN101" s="22"/>
      <c r="NMO101" s="22"/>
      <c r="NMP101" s="22"/>
      <c r="NMQ101" s="22"/>
      <c r="NMR101" s="22"/>
      <c r="NMS101" s="22"/>
      <c r="NMT101" s="22"/>
      <c r="NMU101" s="22"/>
      <c r="NMV101" s="22"/>
      <c r="NMW101" s="22"/>
      <c r="NMX101" s="22"/>
      <c r="NMY101" s="22"/>
      <c r="NMZ101" s="22"/>
      <c r="NNA101" s="22"/>
      <c r="NNB101" s="22"/>
      <c r="NNC101" s="22"/>
      <c r="NND101" s="22"/>
      <c r="NNE101" s="22"/>
      <c r="NNF101" s="22"/>
      <c r="NNG101" s="22"/>
      <c r="NNH101" s="22"/>
      <c r="NNI101" s="22"/>
      <c r="NNJ101" s="22"/>
      <c r="NNK101" s="22"/>
      <c r="NNL101" s="22"/>
      <c r="NNM101" s="22"/>
      <c r="NNN101" s="22"/>
      <c r="NNO101" s="22"/>
      <c r="NNP101" s="22"/>
      <c r="NNQ101" s="22"/>
      <c r="NNR101" s="22"/>
      <c r="NNS101" s="22"/>
      <c r="NNT101" s="22"/>
      <c r="NNU101" s="22"/>
      <c r="NNV101" s="22"/>
      <c r="NNW101" s="22"/>
      <c r="NNX101" s="22"/>
      <c r="NNY101" s="22"/>
      <c r="NNZ101" s="22"/>
      <c r="NOA101" s="22"/>
      <c r="NOB101" s="22"/>
      <c r="NOC101" s="22"/>
      <c r="NOD101" s="22"/>
      <c r="NOE101" s="22"/>
      <c r="NOF101" s="22"/>
      <c r="NOG101" s="22"/>
      <c r="NOH101" s="22"/>
      <c r="NOI101" s="22"/>
      <c r="NOJ101" s="22"/>
      <c r="NOK101" s="22"/>
      <c r="NOL101" s="22"/>
      <c r="NOM101" s="22"/>
      <c r="NON101" s="22"/>
      <c r="NOO101" s="22"/>
      <c r="NOP101" s="22"/>
      <c r="NOQ101" s="22"/>
      <c r="NOR101" s="22"/>
      <c r="NOS101" s="22"/>
      <c r="NOT101" s="22"/>
      <c r="NOU101" s="22"/>
      <c r="NOV101" s="22"/>
      <c r="NOW101" s="22"/>
      <c r="NOX101" s="22"/>
      <c r="NOY101" s="22"/>
      <c r="NOZ101" s="22"/>
      <c r="NPA101" s="22"/>
      <c r="NPB101" s="22"/>
      <c r="NPC101" s="22"/>
      <c r="NPD101" s="22"/>
      <c r="NPE101" s="22"/>
      <c r="NPF101" s="22"/>
      <c r="NPG101" s="22"/>
      <c r="NPH101" s="22"/>
      <c r="NPI101" s="22"/>
      <c r="NPJ101" s="22"/>
      <c r="NPK101" s="22"/>
      <c r="NPL101" s="22"/>
      <c r="NPM101" s="22"/>
      <c r="NPN101" s="22"/>
      <c r="NPO101" s="22"/>
      <c r="NPP101" s="22"/>
      <c r="NPQ101" s="22"/>
      <c r="NPR101" s="22"/>
      <c r="NPS101" s="22"/>
      <c r="NPT101" s="22"/>
      <c r="NPU101" s="22"/>
      <c r="NPV101" s="22"/>
      <c r="NPW101" s="22"/>
      <c r="NPX101" s="22"/>
      <c r="NPY101" s="22"/>
      <c r="NPZ101" s="22"/>
      <c r="NQA101" s="22"/>
      <c r="NQB101" s="22"/>
      <c r="NQC101" s="22"/>
      <c r="NQD101" s="22"/>
      <c r="NQE101" s="22"/>
      <c r="NQF101" s="22"/>
      <c r="NQG101" s="22"/>
      <c r="NQH101" s="22"/>
      <c r="NQI101" s="22"/>
      <c r="NQJ101" s="22"/>
      <c r="NQK101" s="22"/>
      <c r="NQL101" s="22"/>
      <c r="NQM101" s="22"/>
      <c r="NQN101" s="22"/>
      <c r="NQO101" s="22"/>
      <c r="NQP101" s="22"/>
      <c r="NQQ101" s="22"/>
      <c r="NQR101" s="22"/>
      <c r="NQS101" s="22"/>
      <c r="NQT101" s="22"/>
      <c r="NQU101" s="22"/>
      <c r="NQV101" s="22"/>
      <c r="NQW101" s="22"/>
      <c r="NQX101" s="22"/>
      <c r="NQY101" s="22"/>
      <c r="NQZ101" s="22"/>
      <c r="NRA101" s="22"/>
      <c r="NRB101" s="22"/>
      <c r="NRC101" s="22"/>
      <c r="NRD101" s="22"/>
      <c r="NRE101" s="22"/>
      <c r="NRF101" s="22"/>
      <c r="NRG101" s="22"/>
      <c r="NRH101" s="22"/>
      <c r="NRI101" s="22"/>
      <c r="NRJ101" s="22"/>
      <c r="NRK101" s="22"/>
      <c r="NRL101" s="22"/>
      <c r="NRM101" s="22"/>
      <c r="NRN101" s="22"/>
      <c r="NRO101" s="22"/>
      <c r="NRP101" s="22"/>
      <c r="NRQ101" s="22"/>
      <c r="NRR101" s="22"/>
      <c r="NRS101" s="22"/>
      <c r="NRT101" s="22"/>
      <c r="NRU101" s="22"/>
      <c r="NRV101" s="22"/>
      <c r="NRW101" s="22"/>
      <c r="NRX101" s="22"/>
      <c r="NRY101" s="22"/>
      <c r="NRZ101" s="22"/>
      <c r="NSA101" s="22"/>
      <c r="NSB101" s="22"/>
      <c r="NSC101" s="22"/>
      <c r="NSD101" s="22"/>
      <c r="NSE101" s="22"/>
      <c r="NSF101" s="22"/>
      <c r="NSG101" s="22"/>
      <c r="NSH101" s="22"/>
      <c r="NSI101" s="22"/>
      <c r="NSJ101" s="22"/>
      <c r="NSK101" s="22"/>
      <c r="NSL101" s="22"/>
      <c r="NSM101" s="22"/>
      <c r="NSN101" s="22"/>
      <c r="NSO101" s="22"/>
      <c r="NSP101" s="22"/>
      <c r="NSQ101" s="22"/>
      <c r="NSR101" s="22"/>
      <c r="NSS101" s="22"/>
      <c r="NST101" s="22"/>
      <c r="NSU101" s="22"/>
      <c r="NSV101" s="22"/>
      <c r="NSW101" s="22"/>
      <c r="NSX101" s="22"/>
      <c r="NSY101" s="22"/>
      <c r="NSZ101" s="22"/>
      <c r="NTA101" s="22"/>
      <c r="NTB101" s="22"/>
      <c r="NTC101" s="22"/>
      <c r="NTD101" s="22"/>
      <c r="NTE101" s="22"/>
      <c r="NTF101" s="22"/>
      <c r="NTG101" s="22"/>
      <c r="NTH101" s="22"/>
      <c r="NTI101" s="22"/>
      <c r="NTJ101" s="22"/>
      <c r="NTK101" s="22"/>
      <c r="NTL101" s="22"/>
      <c r="NTM101" s="22"/>
      <c r="NTN101" s="22"/>
      <c r="NTO101" s="22"/>
      <c r="NTP101" s="22"/>
      <c r="NTQ101" s="22"/>
      <c r="NTR101" s="22"/>
      <c r="NTS101" s="22"/>
      <c r="NTT101" s="22"/>
      <c r="NTU101" s="22"/>
      <c r="NTV101" s="22"/>
      <c r="NTW101" s="22"/>
      <c r="NTX101" s="22"/>
      <c r="NTY101" s="22"/>
      <c r="NTZ101" s="22"/>
      <c r="NUA101" s="22"/>
      <c r="NUB101" s="22"/>
      <c r="NUC101" s="22"/>
      <c r="NUD101" s="22"/>
      <c r="NUE101" s="22"/>
      <c r="NUF101" s="22"/>
      <c r="NUG101" s="22"/>
      <c r="NUH101" s="22"/>
      <c r="NUI101" s="22"/>
      <c r="NUJ101" s="22"/>
      <c r="NUK101" s="22"/>
      <c r="NUL101" s="22"/>
      <c r="NUM101" s="22"/>
      <c r="NUN101" s="22"/>
      <c r="NUO101" s="22"/>
      <c r="NUP101" s="22"/>
      <c r="NUQ101" s="22"/>
      <c r="NUR101" s="22"/>
      <c r="NUS101" s="22"/>
      <c r="NUT101" s="22"/>
      <c r="NUU101" s="22"/>
      <c r="NUV101" s="22"/>
      <c r="NUW101" s="22"/>
      <c r="NUX101" s="22"/>
      <c r="NUY101" s="22"/>
      <c r="NUZ101" s="22"/>
      <c r="NVA101" s="22"/>
      <c r="NVB101" s="22"/>
      <c r="NVC101" s="22"/>
      <c r="NVD101" s="22"/>
      <c r="NVE101" s="22"/>
      <c r="NVF101" s="22"/>
      <c r="NVG101" s="22"/>
      <c r="NVH101" s="22"/>
      <c r="NVI101" s="22"/>
      <c r="NVJ101" s="22"/>
      <c r="NVK101" s="22"/>
      <c r="NVL101" s="22"/>
      <c r="NVM101" s="22"/>
      <c r="NVN101" s="22"/>
      <c r="NVO101" s="22"/>
      <c r="NVP101" s="22"/>
      <c r="NVQ101" s="22"/>
      <c r="NVR101" s="22"/>
      <c r="NVS101" s="22"/>
      <c r="NVT101" s="22"/>
      <c r="NVU101" s="22"/>
      <c r="NVV101" s="22"/>
      <c r="NVW101" s="22"/>
      <c r="NVX101" s="22"/>
      <c r="NVY101" s="22"/>
      <c r="NVZ101" s="22"/>
      <c r="NWA101" s="22"/>
      <c r="NWB101" s="22"/>
      <c r="NWC101" s="22"/>
      <c r="NWD101" s="22"/>
      <c r="NWE101" s="22"/>
      <c r="NWF101" s="22"/>
      <c r="NWG101" s="22"/>
      <c r="NWH101" s="22"/>
      <c r="NWI101" s="22"/>
      <c r="NWJ101" s="22"/>
      <c r="NWK101" s="22"/>
      <c r="NWL101" s="22"/>
      <c r="NWM101" s="22"/>
      <c r="NWN101" s="22"/>
      <c r="NWO101" s="22"/>
      <c r="NWP101" s="22"/>
      <c r="NWQ101" s="22"/>
      <c r="NWR101" s="22"/>
      <c r="NWS101" s="22"/>
      <c r="NWT101" s="22"/>
      <c r="NWU101" s="22"/>
      <c r="NWV101" s="22"/>
      <c r="NWW101" s="22"/>
      <c r="NWX101" s="22"/>
      <c r="NWY101" s="22"/>
      <c r="NWZ101" s="22"/>
      <c r="NXA101" s="22"/>
      <c r="NXB101" s="22"/>
      <c r="NXC101" s="22"/>
      <c r="NXD101" s="22"/>
      <c r="NXE101" s="22"/>
      <c r="NXF101" s="22"/>
      <c r="NXG101" s="22"/>
      <c r="NXH101" s="22"/>
      <c r="NXI101" s="22"/>
      <c r="NXJ101" s="22"/>
      <c r="NXK101" s="22"/>
      <c r="NXL101" s="22"/>
      <c r="NXM101" s="22"/>
      <c r="NXN101" s="22"/>
      <c r="NXO101" s="22"/>
      <c r="NXP101" s="22"/>
      <c r="NXQ101" s="22"/>
      <c r="NXR101" s="22"/>
      <c r="NXS101" s="22"/>
      <c r="NXT101" s="22"/>
      <c r="NXU101" s="22"/>
      <c r="NXV101" s="22"/>
      <c r="NXW101" s="22"/>
      <c r="NXX101" s="22"/>
      <c r="NXY101" s="22"/>
      <c r="NXZ101" s="22"/>
      <c r="NYA101" s="22"/>
      <c r="NYB101" s="22"/>
      <c r="NYC101" s="22"/>
      <c r="NYD101" s="22"/>
      <c r="NYE101" s="22"/>
      <c r="NYF101" s="22"/>
      <c r="NYG101" s="22"/>
      <c r="NYH101" s="22"/>
      <c r="NYI101" s="22"/>
      <c r="NYJ101" s="22"/>
      <c r="NYK101" s="22"/>
      <c r="NYL101" s="22"/>
      <c r="NYM101" s="22"/>
      <c r="NYN101" s="22"/>
      <c r="NYO101" s="22"/>
      <c r="NYP101" s="22"/>
      <c r="NYQ101" s="22"/>
      <c r="NYR101" s="22"/>
      <c r="NYS101" s="22"/>
      <c r="NYT101" s="22"/>
      <c r="NYU101" s="22"/>
      <c r="NYV101" s="22"/>
      <c r="NYW101" s="22"/>
      <c r="NYX101" s="22"/>
      <c r="NYY101" s="22"/>
      <c r="NYZ101" s="22"/>
      <c r="NZA101" s="22"/>
      <c r="NZB101" s="22"/>
      <c r="NZC101" s="22"/>
      <c r="NZD101" s="22"/>
      <c r="NZE101" s="22"/>
      <c r="NZF101" s="22"/>
      <c r="NZG101" s="22"/>
      <c r="NZH101" s="22"/>
      <c r="NZI101" s="22"/>
      <c r="NZJ101" s="22"/>
      <c r="NZK101" s="22"/>
      <c r="NZL101" s="22"/>
      <c r="NZM101" s="22"/>
      <c r="NZN101" s="22"/>
      <c r="NZO101" s="22"/>
      <c r="NZP101" s="22"/>
      <c r="NZQ101" s="22"/>
      <c r="NZR101" s="22"/>
      <c r="NZS101" s="22"/>
      <c r="NZT101" s="22"/>
      <c r="NZU101" s="22"/>
      <c r="NZV101" s="22"/>
      <c r="NZW101" s="22"/>
      <c r="NZX101" s="22"/>
      <c r="NZY101" s="22"/>
      <c r="NZZ101" s="22"/>
      <c r="OAA101" s="22"/>
      <c r="OAB101" s="22"/>
      <c r="OAC101" s="22"/>
      <c r="OAD101" s="22"/>
      <c r="OAE101" s="22"/>
      <c r="OAF101" s="22"/>
      <c r="OAG101" s="22"/>
      <c r="OAH101" s="22"/>
      <c r="OAI101" s="22"/>
      <c r="OAJ101" s="22"/>
      <c r="OAK101" s="22"/>
      <c r="OAL101" s="22"/>
      <c r="OAM101" s="22"/>
      <c r="OAN101" s="22"/>
      <c r="OAO101" s="22"/>
      <c r="OAP101" s="22"/>
      <c r="OAQ101" s="22"/>
      <c r="OAR101" s="22"/>
      <c r="OAS101" s="22"/>
      <c r="OAT101" s="22"/>
      <c r="OAU101" s="22"/>
      <c r="OAV101" s="22"/>
      <c r="OAW101" s="22"/>
      <c r="OAX101" s="22"/>
      <c r="OAY101" s="22"/>
      <c r="OAZ101" s="22"/>
      <c r="OBA101" s="22"/>
      <c r="OBB101" s="22"/>
      <c r="OBC101" s="22"/>
      <c r="OBD101" s="22"/>
      <c r="OBE101" s="22"/>
      <c r="OBF101" s="22"/>
      <c r="OBG101" s="22"/>
      <c r="OBH101" s="22"/>
      <c r="OBI101" s="22"/>
      <c r="OBJ101" s="22"/>
      <c r="OBK101" s="22"/>
      <c r="OBL101" s="22"/>
      <c r="OBM101" s="22"/>
      <c r="OBN101" s="22"/>
      <c r="OBO101" s="22"/>
      <c r="OBP101" s="22"/>
      <c r="OBQ101" s="22"/>
      <c r="OBR101" s="22"/>
      <c r="OBS101" s="22"/>
      <c r="OBT101" s="22"/>
      <c r="OBU101" s="22"/>
      <c r="OBV101" s="22"/>
      <c r="OBW101" s="22"/>
      <c r="OBX101" s="22"/>
      <c r="OBY101" s="22"/>
      <c r="OBZ101" s="22"/>
      <c r="OCA101" s="22"/>
      <c r="OCB101" s="22"/>
      <c r="OCC101" s="22"/>
      <c r="OCD101" s="22"/>
      <c r="OCE101" s="22"/>
      <c r="OCF101" s="22"/>
      <c r="OCG101" s="22"/>
      <c r="OCH101" s="22"/>
      <c r="OCI101" s="22"/>
      <c r="OCJ101" s="22"/>
      <c r="OCK101" s="22"/>
      <c r="OCL101" s="22"/>
      <c r="OCM101" s="22"/>
      <c r="OCN101" s="22"/>
      <c r="OCO101" s="22"/>
      <c r="OCP101" s="22"/>
      <c r="OCQ101" s="22"/>
      <c r="OCR101" s="22"/>
      <c r="OCS101" s="22"/>
      <c r="OCT101" s="22"/>
      <c r="OCU101" s="22"/>
      <c r="OCV101" s="22"/>
      <c r="OCW101" s="22"/>
      <c r="OCX101" s="22"/>
      <c r="OCY101" s="22"/>
      <c r="OCZ101" s="22"/>
      <c r="ODA101" s="22"/>
      <c r="ODB101" s="22"/>
      <c r="ODC101" s="22"/>
      <c r="ODD101" s="22"/>
      <c r="ODE101" s="22"/>
      <c r="ODF101" s="22"/>
      <c r="ODG101" s="22"/>
      <c r="ODH101" s="22"/>
      <c r="ODI101" s="22"/>
      <c r="ODJ101" s="22"/>
      <c r="ODK101" s="22"/>
      <c r="ODL101" s="22"/>
      <c r="ODM101" s="22"/>
      <c r="ODN101" s="22"/>
      <c r="ODO101" s="22"/>
      <c r="ODP101" s="22"/>
      <c r="ODQ101" s="22"/>
      <c r="ODR101" s="22"/>
      <c r="ODS101" s="22"/>
      <c r="ODT101" s="22"/>
      <c r="ODU101" s="22"/>
      <c r="ODV101" s="22"/>
      <c r="ODW101" s="22"/>
      <c r="ODX101" s="22"/>
      <c r="ODY101" s="22"/>
      <c r="ODZ101" s="22"/>
      <c r="OEA101" s="22"/>
      <c r="OEB101" s="22"/>
      <c r="OEC101" s="22"/>
      <c r="OED101" s="22"/>
      <c r="OEE101" s="22"/>
      <c r="OEF101" s="22"/>
      <c r="OEG101" s="22"/>
      <c r="OEH101" s="22"/>
      <c r="OEI101" s="22"/>
      <c r="OEJ101" s="22"/>
      <c r="OEK101" s="22"/>
      <c r="OEL101" s="22"/>
      <c r="OEM101" s="22"/>
      <c r="OEN101" s="22"/>
      <c r="OEO101" s="22"/>
      <c r="OEP101" s="22"/>
      <c r="OEQ101" s="22"/>
      <c r="OER101" s="22"/>
      <c r="OES101" s="22"/>
      <c r="OET101" s="22"/>
      <c r="OEU101" s="22"/>
      <c r="OEV101" s="22"/>
      <c r="OEW101" s="22"/>
      <c r="OEX101" s="22"/>
      <c r="OEY101" s="22"/>
      <c r="OEZ101" s="22"/>
      <c r="OFA101" s="22"/>
      <c r="OFB101" s="22"/>
      <c r="OFC101" s="22"/>
      <c r="OFD101" s="22"/>
      <c r="OFE101" s="22"/>
      <c r="OFF101" s="22"/>
      <c r="OFG101" s="22"/>
      <c r="OFH101" s="22"/>
      <c r="OFI101" s="22"/>
      <c r="OFJ101" s="22"/>
      <c r="OFK101" s="22"/>
      <c r="OFL101" s="22"/>
      <c r="OFM101" s="22"/>
      <c r="OFN101" s="22"/>
      <c r="OFO101" s="22"/>
      <c r="OFP101" s="22"/>
      <c r="OFQ101" s="22"/>
      <c r="OFR101" s="22"/>
      <c r="OFS101" s="22"/>
      <c r="OFT101" s="22"/>
      <c r="OFU101" s="22"/>
      <c r="OFV101" s="22"/>
      <c r="OFW101" s="22"/>
      <c r="OFX101" s="22"/>
      <c r="OFY101" s="22"/>
      <c r="OFZ101" s="22"/>
      <c r="OGA101" s="22"/>
      <c r="OGB101" s="22"/>
      <c r="OGC101" s="22"/>
      <c r="OGD101" s="22"/>
      <c r="OGE101" s="22"/>
      <c r="OGF101" s="22"/>
      <c r="OGG101" s="22"/>
      <c r="OGH101" s="22"/>
      <c r="OGI101" s="22"/>
      <c r="OGJ101" s="22"/>
      <c r="OGK101" s="22"/>
      <c r="OGL101" s="22"/>
      <c r="OGM101" s="22"/>
      <c r="OGN101" s="22"/>
      <c r="OGO101" s="22"/>
      <c r="OGP101" s="22"/>
      <c r="OGQ101" s="22"/>
      <c r="OGR101" s="22"/>
      <c r="OGS101" s="22"/>
      <c r="OGT101" s="22"/>
      <c r="OGU101" s="22"/>
      <c r="OGV101" s="22"/>
      <c r="OGW101" s="22"/>
      <c r="OGX101" s="22"/>
      <c r="OGY101" s="22"/>
      <c r="OGZ101" s="22"/>
      <c r="OHA101" s="22"/>
      <c r="OHB101" s="22"/>
      <c r="OHC101" s="22"/>
      <c r="OHD101" s="22"/>
      <c r="OHE101" s="22"/>
      <c r="OHF101" s="22"/>
      <c r="OHG101" s="22"/>
      <c r="OHH101" s="22"/>
      <c r="OHI101" s="22"/>
      <c r="OHJ101" s="22"/>
      <c r="OHK101" s="22"/>
      <c r="OHL101" s="22"/>
      <c r="OHM101" s="22"/>
      <c r="OHN101" s="22"/>
      <c r="OHO101" s="22"/>
      <c r="OHP101" s="22"/>
      <c r="OHQ101" s="22"/>
      <c r="OHR101" s="22"/>
      <c r="OHS101" s="22"/>
      <c r="OHT101" s="22"/>
      <c r="OHU101" s="22"/>
      <c r="OHV101" s="22"/>
      <c r="OHW101" s="22"/>
      <c r="OHX101" s="22"/>
      <c r="OHY101" s="22"/>
      <c r="OHZ101" s="22"/>
      <c r="OIA101" s="22"/>
      <c r="OIB101" s="22"/>
      <c r="OIC101" s="22"/>
      <c r="OID101" s="22"/>
      <c r="OIE101" s="22"/>
      <c r="OIF101" s="22"/>
      <c r="OIG101" s="22"/>
      <c r="OIH101" s="22"/>
      <c r="OII101" s="22"/>
      <c r="OIJ101" s="22"/>
      <c r="OIK101" s="22"/>
      <c r="OIL101" s="22"/>
      <c r="OIM101" s="22"/>
      <c r="OIN101" s="22"/>
      <c r="OIO101" s="22"/>
      <c r="OIP101" s="22"/>
      <c r="OIQ101" s="22"/>
      <c r="OIR101" s="22"/>
      <c r="OIS101" s="22"/>
      <c r="OIT101" s="22"/>
      <c r="OIU101" s="22"/>
      <c r="OIV101" s="22"/>
      <c r="OIW101" s="22"/>
      <c r="OIX101" s="22"/>
      <c r="OIY101" s="22"/>
      <c r="OIZ101" s="22"/>
      <c r="OJA101" s="22"/>
      <c r="OJB101" s="22"/>
      <c r="OJC101" s="22"/>
      <c r="OJD101" s="22"/>
      <c r="OJE101" s="22"/>
      <c r="OJF101" s="22"/>
      <c r="OJG101" s="22"/>
      <c r="OJH101" s="22"/>
      <c r="OJI101" s="22"/>
      <c r="OJJ101" s="22"/>
      <c r="OJK101" s="22"/>
      <c r="OJL101" s="22"/>
      <c r="OJM101" s="22"/>
      <c r="OJN101" s="22"/>
      <c r="OJO101" s="22"/>
      <c r="OJP101" s="22"/>
      <c r="OJQ101" s="22"/>
      <c r="OJR101" s="22"/>
      <c r="OJS101" s="22"/>
      <c r="OJT101" s="22"/>
      <c r="OJU101" s="22"/>
      <c r="OJV101" s="22"/>
      <c r="OJW101" s="22"/>
      <c r="OJX101" s="22"/>
      <c r="OJY101" s="22"/>
      <c r="OJZ101" s="22"/>
      <c r="OKA101" s="22"/>
      <c r="OKB101" s="22"/>
      <c r="OKC101" s="22"/>
      <c r="OKD101" s="22"/>
      <c r="OKE101" s="22"/>
      <c r="OKF101" s="22"/>
      <c r="OKG101" s="22"/>
      <c r="OKH101" s="22"/>
      <c r="OKI101" s="22"/>
      <c r="OKJ101" s="22"/>
      <c r="OKK101" s="22"/>
      <c r="OKL101" s="22"/>
      <c r="OKM101" s="22"/>
      <c r="OKN101" s="22"/>
      <c r="OKO101" s="22"/>
      <c r="OKP101" s="22"/>
      <c r="OKQ101" s="22"/>
      <c r="OKR101" s="22"/>
      <c r="OKS101" s="22"/>
      <c r="OKT101" s="22"/>
      <c r="OKU101" s="22"/>
      <c r="OKV101" s="22"/>
      <c r="OKW101" s="22"/>
      <c r="OKX101" s="22"/>
      <c r="OKY101" s="22"/>
      <c r="OKZ101" s="22"/>
      <c r="OLA101" s="22"/>
      <c r="OLB101" s="22"/>
      <c r="OLC101" s="22"/>
      <c r="OLD101" s="22"/>
      <c r="OLE101" s="22"/>
      <c r="OLF101" s="22"/>
      <c r="OLG101" s="22"/>
      <c r="OLH101" s="22"/>
      <c r="OLI101" s="22"/>
      <c r="OLJ101" s="22"/>
      <c r="OLK101" s="22"/>
      <c r="OLL101" s="22"/>
      <c r="OLM101" s="22"/>
      <c r="OLN101" s="22"/>
      <c r="OLO101" s="22"/>
      <c r="OLP101" s="22"/>
      <c r="OLQ101" s="22"/>
      <c r="OLR101" s="22"/>
      <c r="OLS101" s="22"/>
      <c r="OLT101" s="22"/>
      <c r="OLU101" s="22"/>
      <c r="OLV101" s="22"/>
      <c r="OLW101" s="22"/>
      <c r="OLX101" s="22"/>
      <c r="OLY101" s="22"/>
      <c r="OLZ101" s="22"/>
      <c r="OMA101" s="22"/>
      <c r="OMB101" s="22"/>
      <c r="OMC101" s="22"/>
      <c r="OMD101" s="22"/>
      <c r="OME101" s="22"/>
      <c r="OMF101" s="22"/>
      <c r="OMG101" s="22"/>
      <c r="OMH101" s="22"/>
      <c r="OMI101" s="22"/>
      <c r="OMJ101" s="22"/>
      <c r="OMK101" s="22"/>
      <c r="OML101" s="22"/>
      <c r="OMM101" s="22"/>
      <c r="OMN101" s="22"/>
      <c r="OMO101" s="22"/>
      <c r="OMP101" s="22"/>
      <c r="OMQ101" s="22"/>
      <c r="OMR101" s="22"/>
      <c r="OMS101" s="22"/>
      <c r="OMT101" s="22"/>
      <c r="OMU101" s="22"/>
      <c r="OMV101" s="22"/>
      <c r="OMW101" s="22"/>
      <c r="OMX101" s="22"/>
      <c r="OMY101" s="22"/>
      <c r="OMZ101" s="22"/>
      <c r="ONA101" s="22"/>
      <c r="ONB101" s="22"/>
      <c r="ONC101" s="22"/>
      <c r="OND101" s="22"/>
      <c r="ONE101" s="22"/>
      <c r="ONF101" s="22"/>
      <c r="ONG101" s="22"/>
      <c r="ONH101" s="22"/>
      <c r="ONI101" s="22"/>
      <c r="ONJ101" s="22"/>
      <c r="ONK101" s="22"/>
      <c r="ONL101" s="22"/>
      <c r="ONM101" s="22"/>
      <c r="ONN101" s="22"/>
      <c r="ONO101" s="22"/>
      <c r="ONP101" s="22"/>
      <c r="ONQ101" s="22"/>
      <c r="ONR101" s="22"/>
      <c r="ONS101" s="22"/>
      <c r="ONT101" s="22"/>
      <c r="ONU101" s="22"/>
      <c r="ONV101" s="22"/>
      <c r="ONW101" s="22"/>
      <c r="ONX101" s="22"/>
      <c r="ONY101" s="22"/>
      <c r="ONZ101" s="22"/>
      <c r="OOA101" s="22"/>
      <c r="OOB101" s="22"/>
      <c r="OOC101" s="22"/>
      <c r="OOD101" s="22"/>
      <c r="OOE101" s="22"/>
      <c r="OOF101" s="22"/>
      <c r="OOG101" s="22"/>
      <c r="OOH101" s="22"/>
      <c r="OOI101" s="22"/>
      <c r="OOJ101" s="22"/>
      <c r="OOK101" s="22"/>
      <c r="OOL101" s="22"/>
      <c r="OOM101" s="22"/>
      <c r="OON101" s="22"/>
      <c r="OOO101" s="22"/>
      <c r="OOP101" s="22"/>
      <c r="OOQ101" s="22"/>
      <c r="OOR101" s="22"/>
      <c r="OOS101" s="22"/>
      <c r="OOT101" s="22"/>
      <c r="OOU101" s="22"/>
      <c r="OOV101" s="22"/>
      <c r="OOW101" s="22"/>
      <c r="OOX101" s="22"/>
      <c r="OOY101" s="22"/>
      <c r="OOZ101" s="22"/>
      <c r="OPA101" s="22"/>
      <c r="OPB101" s="22"/>
      <c r="OPC101" s="22"/>
      <c r="OPD101" s="22"/>
      <c r="OPE101" s="22"/>
      <c r="OPF101" s="22"/>
      <c r="OPG101" s="22"/>
      <c r="OPH101" s="22"/>
      <c r="OPI101" s="22"/>
      <c r="OPJ101" s="22"/>
      <c r="OPK101" s="22"/>
      <c r="OPL101" s="22"/>
      <c r="OPM101" s="22"/>
      <c r="OPN101" s="22"/>
      <c r="OPO101" s="22"/>
      <c r="OPP101" s="22"/>
      <c r="OPQ101" s="22"/>
      <c r="OPR101" s="22"/>
      <c r="OPS101" s="22"/>
      <c r="OPT101" s="22"/>
      <c r="OPU101" s="22"/>
      <c r="OPV101" s="22"/>
      <c r="OPW101" s="22"/>
      <c r="OPX101" s="22"/>
      <c r="OPY101" s="22"/>
      <c r="OPZ101" s="22"/>
      <c r="OQA101" s="22"/>
      <c r="OQB101" s="22"/>
      <c r="OQC101" s="22"/>
      <c r="OQD101" s="22"/>
      <c r="OQE101" s="22"/>
      <c r="OQF101" s="22"/>
      <c r="OQG101" s="22"/>
      <c r="OQH101" s="22"/>
      <c r="OQI101" s="22"/>
      <c r="OQJ101" s="22"/>
      <c r="OQK101" s="22"/>
      <c r="OQL101" s="22"/>
      <c r="OQM101" s="22"/>
      <c r="OQN101" s="22"/>
      <c r="OQO101" s="22"/>
      <c r="OQP101" s="22"/>
      <c r="OQQ101" s="22"/>
      <c r="OQR101" s="22"/>
      <c r="OQS101" s="22"/>
      <c r="OQT101" s="22"/>
      <c r="OQU101" s="22"/>
      <c r="OQV101" s="22"/>
      <c r="OQW101" s="22"/>
      <c r="OQX101" s="22"/>
      <c r="OQY101" s="22"/>
      <c r="OQZ101" s="22"/>
      <c r="ORA101" s="22"/>
      <c r="ORB101" s="22"/>
      <c r="ORC101" s="22"/>
      <c r="ORD101" s="22"/>
      <c r="ORE101" s="22"/>
      <c r="ORF101" s="22"/>
      <c r="ORG101" s="22"/>
      <c r="ORH101" s="22"/>
      <c r="ORI101" s="22"/>
      <c r="ORJ101" s="22"/>
      <c r="ORK101" s="22"/>
      <c r="ORL101" s="22"/>
      <c r="ORM101" s="22"/>
      <c r="ORN101" s="22"/>
      <c r="ORO101" s="22"/>
      <c r="ORP101" s="22"/>
      <c r="ORQ101" s="22"/>
      <c r="ORR101" s="22"/>
      <c r="ORS101" s="22"/>
      <c r="ORT101" s="22"/>
      <c r="ORU101" s="22"/>
      <c r="ORV101" s="22"/>
      <c r="ORW101" s="22"/>
      <c r="ORX101" s="22"/>
      <c r="ORY101" s="22"/>
      <c r="ORZ101" s="22"/>
      <c r="OSA101" s="22"/>
      <c r="OSB101" s="22"/>
      <c r="OSC101" s="22"/>
      <c r="OSD101" s="22"/>
      <c r="OSE101" s="22"/>
      <c r="OSF101" s="22"/>
      <c r="OSG101" s="22"/>
      <c r="OSH101" s="22"/>
      <c r="OSI101" s="22"/>
      <c r="OSJ101" s="22"/>
      <c r="OSK101" s="22"/>
      <c r="OSL101" s="22"/>
      <c r="OSM101" s="22"/>
      <c r="OSN101" s="22"/>
      <c r="OSO101" s="22"/>
      <c r="OSP101" s="22"/>
      <c r="OSQ101" s="22"/>
      <c r="OSR101" s="22"/>
      <c r="OSS101" s="22"/>
      <c r="OST101" s="22"/>
      <c r="OSU101" s="22"/>
      <c r="OSV101" s="22"/>
      <c r="OSW101" s="22"/>
      <c r="OSX101" s="22"/>
      <c r="OSY101" s="22"/>
      <c r="OSZ101" s="22"/>
      <c r="OTA101" s="22"/>
      <c r="OTB101" s="22"/>
      <c r="OTC101" s="22"/>
      <c r="OTD101" s="22"/>
      <c r="OTE101" s="22"/>
      <c r="OTF101" s="22"/>
      <c r="OTG101" s="22"/>
      <c r="OTH101" s="22"/>
      <c r="OTI101" s="22"/>
      <c r="OTJ101" s="22"/>
      <c r="OTK101" s="22"/>
      <c r="OTL101" s="22"/>
      <c r="OTM101" s="22"/>
      <c r="OTN101" s="22"/>
      <c r="OTO101" s="22"/>
      <c r="OTP101" s="22"/>
      <c r="OTQ101" s="22"/>
      <c r="OTR101" s="22"/>
      <c r="OTS101" s="22"/>
      <c r="OTT101" s="22"/>
      <c r="OTU101" s="22"/>
      <c r="OTV101" s="22"/>
      <c r="OTW101" s="22"/>
      <c r="OTX101" s="22"/>
      <c r="OTY101" s="22"/>
      <c r="OTZ101" s="22"/>
      <c r="OUA101" s="22"/>
      <c r="OUB101" s="22"/>
      <c r="OUC101" s="22"/>
      <c r="OUD101" s="22"/>
      <c r="OUE101" s="22"/>
      <c r="OUF101" s="22"/>
      <c r="OUG101" s="22"/>
      <c r="OUH101" s="22"/>
      <c r="OUI101" s="22"/>
      <c r="OUJ101" s="22"/>
      <c r="OUK101" s="22"/>
      <c r="OUL101" s="22"/>
      <c r="OUM101" s="22"/>
      <c r="OUN101" s="22"/>
      <c r="OUO101" s="22"/>
      <c r="OUP101" s="22"/>
      <c r="OUQ101" s="22"/>
      <c r="OUR101" s="22"/>
      <c r="OUS101" s="22"/>
      <c r="OUT101" s="22"/>
      <c r="OUU101" s="22"/>
      <c r="OUV101" s="22"/>
      <c r="OUW101" s="22"/>
      <c r="OUX101" s="22"/>
      <c r="OUY101" s="22"/>
      <c r="OUZ101" s="22"/>
      <c r="OVA101" s="22"/>
      <c r="OVB101" s="22"/>
      <c r="OVC101" s="22"/>
      <c r="OVD101" s="22"/>
      <c r="OVE101" s="22"/>
      <c r="OVF101" s="22"/>
      <c r="OVG101" s="22"/>
      <c r="OVH101" s="22"/>
      <c r="OVI101" s="22"/>
      <c r="OVJ101" s="22"/>
      <c r="OVK101" s="22"/>
      <c r="OVL101" s="22"/>
      <c r="OVM101" s="22"/>
      <c r="OVN101" s="22"/>
      <c r="OVO101" s="22"/>
      <c r="OVP101" s="22"/>
      <c r="OVQ101" s="22"/>
      <c r="OVR101" s="22"/>
      <c r="OVS101" s="22"/>
      <c r="OVT101" s="22"/>
      <c r="OVU101" s="22"/>
      <c r="OVV101" s="22"/>
      <c r="OVW101" s="22"/>
      <c r="OVX101" s="22"/>
      <c r="OVY101" s="22"/>
      <c r="OVZ101" s="22"/>
      <c r="OWA101" s="22"/>
      <c r="OWB101" s="22"/>
      <c r="OWC101" s="22"/>
      <c r="OWD101" s="22"/>
      <c r="OWE101" s="22"/>
      <c r="OWF101" s="22"/>
      <c r="OWG101" s="22"/>
      <c r="OWH101" s="22"/>
      <c r="OWI101" s="22"/>
      <c r="OWJ101" s="22"/>
      <c r="OWK101" s="22"/>
      <c r="OWL101" s="22"/>
      <c r="OWM101" s="22"/>
      <c r="OWN101" s="22"/>
      <c r="OWO101" s="22"/>
      <c r="OWP101" s="22"/>
      <c r="OWQ101" s="22"/>
      <c r="OWR101" s="22"/>
      <c r="OWS101" s="22"/>
      <c r="OWT101" s="22"/>
      <c r="OWU101" s="22"/>
      <c r="OWV101" s="22"/>
      <c r="OWW101" s="22"/>
      <c r="OWX101" s="22"/>
      <c r="OWY101" s="22"/>
      <c r="OWZ101" s="22"/>
      <c r="OXA101" s="22"/>
      <c r="OXB101" s="22"/>
      <c r="OXC101" s="22"/>
      <c r="OXD101" s="22"/>
      <c r="OXE101" s="22"/>
      <c r="OXF101" s="22"/>
      <c r="OXG101" s="22"/>
      <c r="OXH101" s="22"/>
      <c r="OXI101" s="22"/>
      <c r="OXJ101" s="22"/>
      <c r="OXK101" s="22"/>
      <c r="OXL101" s="22"/>
      <c r="OXM101" s="22"/>
      <c r="OXN101" s="22"/>
      <c r="OXO101" s="22"/>
      <c r="OXP101" s="22"/>
      <c r="OXQ101" s="22"/>
      <c r="OXR101" s="22"/>
      <c r="OXS101" s="22"/>
      <c r="OXT101" s="22"/>
      <c r="OXU101" s="22"/>
      <c r="OXV101" s="22"/>
      <c r="OXW101" s="22"/>
      <c r="OXX101" s="22"/>
      <c r="OXY101" s="22"/>
      <c r="OXZ101" s="22"/>
      <c r="OYA101" s="22"/>
      <c r="OYB101" s="22"/>
      <c r="OYC101" s="22"/>
      <c r="OYD101" s="22"/>
      <c r="OYE101" s="22"/>
      <c r="OYF101" s="22"/>
      <c r="OYG101" s="22"/>
      <c r="OYH101" s="22"/>
      <c r="OYI101" s="22"/>
      <c r="OYJ101" s="22"/>
      <c r="OYK101" s="22"/>
      <c r="OYL101" s="22"/>
      <c r="OYM101" s="22"/>
      <c r="OYN101" s="22"/>
      <c r="OYO101" s="22"/>
      <c r="OYP101" s="22"/>
      <c r="OYQ101" s="22"/>
      <c r="OYR101" s="22"/>
      <c r="OYS101" s="22"/>
      <c r="OYT101" s="22"/>
      <c r="OYU101" s="22"/>
      <c r="OYV101" s="22"/>
      <c r="OYW101" s="22"/>
      <c r="OYX101" s="22"/>
      <c r="OYY101" s="22"/>
      <c r="OYZ101" s="22"/>
      <c r="OZA101" s="22"/>
      <c r="OZB101" s="22"/>
      <c r="OZC101" s="22"/>
      <c r="OZD101" s="22"/>
      <c r="OZE101" s="22"/>
      <c r="OZF101" s="22"/>
      <c r="OZG101" s="22"/>
      <c r="OZH101" s="22"/>
      <c r="OZI101" s="22"/>
      <c r="OZJ101" s="22"/>
      <c r="OZK101" s="22"/>
      <c r="OZL101" s="22"/>
      <c r="OZM101" s="22"/>
      <c r="OZN101" s="22"/>
      <c r="OZO101" s="22"/>
      <c r="OZP101" s="22"/>
      <c r="OZQ101" s="22"/>
      <c r="OZR101" s="22"/>
      <c r="OZS101" s="22"/>
      <c r="OZT101" s="22"/>
      <c r="OZU101" s="22"/>
      <c r="OZV101" s="22"/>
      <c r="OZW101" s="22"/>
      <c r="OZX101" s="22"/>
      <c r="OZY101" s="22"/>
      <c r="OZZ101" s="22"/>
      <c r="PAA101" s="22"/>
      <c r="PAB101" s="22"/>
      <c r="PAC101" s="22"/>
      <c r="PAD101" s="22"/>
      <c r="PAE101" s="22"/>
      <c r="PAF101" s="22"/>
      <c r="PAG101" s="22"/>
      <c r="PAH101" s="22"/>
      <c r="PAI101" s="22"/>
      <c r="PAJ101" s="22"/>
      <c r="PAK101" s="22"/>
      <c r="PAL101" s="22"/>
      <c r="PAM101" s="22"/>
      <c r="PAN101" s="22"/>
      <c r="PAO101" s="22"/>
      <c r="PAP101" s="22"/>
      <c r="PAQ101" s="22"/>
      <c r="PAR101" s="22"/>
      <c r="PAS101" s="22"/>
      <c r="PAT101" s="22"/>
      <c r="PAU101" s="22"/>
      <c r="PAV101" s="22"/>
      <c r="PAW101" s="22"/>
      <c r="PAX101" s="22"/>
      <c r="PAY101" s="22"/>
      <c r="PAZ101" s="22"/>
      <c r="PBA101" s="22"/>
      <c r="PBB101" s="22"/>
      <c r="PBC101" s="22"/>
      <c r="PBD101" s="22"/>
      <c r="PBE101" s="22"/>
      <c r="PBF101" s="22"/>
      <c r="PBG101" s="22"/>
      <c r="PBH101" s="22"/>
      <c r="PBI101" s="22"/>
      <c r="PBJ101" s="22"/>
      <c r="PBK101" s="22"/>
      <c r="PBL101" s="22"/>
      <c r="PBM101" s="22"/>
      <c r="PBN101" s="22"/>
      <c r="PBO101" s="22"/>
      <c r="PBP101" s="22"/>
      <c r="PBQ101" s="22"/>
      <c r="PBR101" s="22"/>
      <c r="PBS101" s="22"/>
      <c r="PBT101" s="22"/>
      <c r="PBU101" s="22"/>
      <c r="PBV101" s="22"/>
      <c r="PBW101" s="22"/>
      <c r="PBX101" s="22"/>
      <c r="PBY101" s="22"/>
      <c r="PBZ101" s="22"/>
      <c r="PCA101" s="22"/>
      <c r="PCB101" s="22"/>
      <c r="PCC101" s="22"/>
      <c r="PCD101" s="22"/>
      <c r="PCE101" s="22"/>
      <c r="PCF101" s="22"/>
      <c r="PCG101" s="22"/>
      <c r="PCH101" s="22"/>
      <c r="PCI101" s="22"/>
      <c r="PCJ101" s="22"/>
      <c r="PCK101" s="22"/>
      <c r="PCL101" s="22"/>
      <c r="PCM101" s="22"/>
      <c r="PCN101" s="22"/>
      <c r="PCO101" s="22"/>
      <c r="PCP101" s="22"/>
      <c r="PCQ101" s="22"/>
      <c r="PCR101" s="22"/>
      <c r="PCS101" s="22"/>
      <c r="PCT101" s="22"/>
      <c r="PCU101" s="22"/>
      <c r="PCV101" s="22"/>
      <c r="PCW101" s="22"/>
      <c r="PCX101" s="22"/>
      <c r="PCY101" s="22"/>
      <c r="PCZ101" s="22"/>
      <c r="PDA101" s="22"/>
      <c r="PDB101" s="22"/>
      <c r="PDC101" s="22"/>
      <c r="PDD101" s="22"/>
      <c r="PDE101" s="22"/>
      <c r="PDF101" s="22"/>
      <c r="PDG101" s="22"/>
      <c r="PDH101" s="22"/>
      <c r="PDI101" s="22"/>
      <c r="PDJ101" s="22"/>
      <c r="PDK101" s="22"/>
      <c r="PDL101" s="22"/>
      <c r="PDM101" s="22"/>
      <c r="PDN101" s="22"/>
      <c r="PDO101" s="22"/>
      <c r="PDP101" s="22"/>
      <c r="PDQ101" s="22"/>
      <c r="PDR101" s="22"/>
      <c r="PDS101" s="22"/>
      <c r="PDT101" s="22"/>
      <c r="PDU101" s="22"/>
      <c r="PDV101" s="22"/>
      <c r="PDW101" s="22"/>
      <c r="PDX101" s="22"/>
      <c r="PDY101" s="22"/>
      <c r="PDZ101" s="22"/>
      <c r="PEA101" s="22"/>
      <c r="PEB101" s="22"/>
      <c r="PEC101" s="22"/>
      <c r="PED101" s="22"/>
      <c r="PEE101" s="22"/>
      <c r="PEF101" s="22"/>
      <c r="PEG101" s="22"/>
      <c r="PEH101" s="22"/>
      <c r="PEI101" s="22"/>
      <c r="PEJ101" s="22"/>
      <c r="PEK101" s="22"/>
      <c r="PEL101" s="22"/>
      <c r="PEM101" s="22"/>
      <c r="PEN101" s="22"/>
      <c r="PEO101" s="22"/>
      <c r="PEP101" s="22"/>
      <c r="PEQ101" s="22"/>
      <c r="PER101" s="22"/>
      <c r="PES101" s="22"/>
      <c r="PET101" s="22"/>
      <c r="PEU101" s="22"/>
      <c r="PEV101" s="22"/>
      <c r="PEW101" s="22"/>
      <c r="PEX101" s="22"/>
      <c r="PEY101" s="22"/>
      <c r="PEZ101" s="22"/>
      <c r="PFA101" s="22"/>
      <c r="PFB101" s="22"/>
      <c r="PFC101" s="22"/>
      <c r="PFD101" s="22"/>
      <c r="PFE101" s="22"/>
      <c r="PFF101" s="22"/>
      <c r="PFG101" s="22"/>
      <c r="PFH101" s="22"/>
      <c r="PFI101" s="22"/>
      <c r="PFJ101" s="22"/>
      <c r="PFK101" s="22"/>
      <c r="PFL101" s="22"/>
      <c r="PFM101" s="22"/>
      <c r="PFN101" s="22"/>
      <c r="PFO101" s="22"/>
      <c r="PFP101" s="22"/>
      <c r="PFQ101" s="22"/>
      <c r="PFR101" s="22"/>
      <c r="PFS101" s="22"/>
      <c r="PFT101" s="22"/>
      <c r="PFU101" s="22"/>
      <c r="PFV101" s="22"/>
      <c r="PFW101" s="22"/>
      <c r="PFX101" s="22"/>
      <c r="PFY101" s="22"/>
      <c r="PFZ101" s="22"/>
      <c r="PGA101" s="22"/>
      <c r="PGB101" s="22"/>
      <c r="PGC101" s="22"/>
      <c r="PGD101" s="22"/>
      <c r="PGE101" s="22"/>
      <c r="PGF101" s="22"/>
      <c r="PGG101" s="22"/>
      <c r="PGH101" s="22"/>
      <c r="PGI101" s="22"/>
      <c r="PGJ101" s="22"/>
      <c r="PGK101" s="22"/>
      <c r="PGL101" s="22"/>
      <c r="PGM101" s="22"/>
      <c r="PGN101" s="22"/>
      <c r="PGO101" s="22"/>
      <c r="PGP101" s="22"/>
      <c r="PGQ101" s="22"/>
      <c r="PGR101" s="22"/>
      <c r="PGS101" s="22"/>
      <c r="PGT101" s="22"/>
      <c r="PGU101" s="22"/>
      <c r="PGV101" s="22"/>
      <c r="PGW101" s="22"/>
      <c r="PGX101" s="22"/>
      <c r="PGY101" s="22"/>
      <c r="PGZ101" s="22"/>
      <c r="PHA101" s="22"/>
      <c r="PHB101" s="22"/>
      <c r="PHC101" s="22"/>
      <c r="PHD101" s="22"/>
      <c r="PHE101" s="22"/>
      <c r="PHF101" s="22"/>
      <c r="PHG101" s="22"/>
      <c r="PHH101" s="22"/>
      <c r="PHI101" s="22"/>
      <c r="PHJ101" s="22"/>
      <c r="PHK101" s="22"/>
      <c r="PHL101" s="22"/>
      <c r="PHM101" s="22"/>
      <c r="PHN101" s="22"/>
      <c r="PHO101" s="22"/>
      <c r="PHP101" s="22"/>
      <c r="PHQ101" s="22"/>
      <c r="PHR101" s="22"/>
      <c r="PHS101" s="22"/>
      <c r="PHT101" s="22"/>
      <c r="PHU101" s="22"/>
      <c r="PHV101" s="22"/>
      <c r="PHW101" s="22"/>
      <c r="PHX101" s="22"/>
      <c r="PHY101" s="22"/>
      <c r="PHZ101" s="22"/>
      <c r="PIA101" s="22"/>
      <c r="PIB101" s="22"/>
      <c r="PIC101" s="22"/>
      <c r="PID101" s="22"/>
      <c r="PIE101" s="22"/>
      <c r="PIF101" s="22"/>
      <c r="PIG101" s="22"/>
      <c r="PIH101" s="22"/>
      <c r="PII101" s="22"/>
      <c r="PIJ101" s="22"/>
      <c r="PIK101" s="22"/>
      <c r="PIL101" s="22"/>
      <c r="PIM101" s="22"/>
      <c r="PIN101" s="22"/>
      <c r="PIO101" s="22"/>
      <c r="PIP101" s="22"/>
      <c r="PIQ101" s="22"/>
      <c r="PIR101" s="22"/>
      <c r="PIS101" s="22"/>
      <c r="PIT101" s="22"/>
      <c r="PIU101" s="22"/>
      <c r="PIV101" s="22"/>
      <c r="PIW101" s="22"/>
      <c r="PIX101" s="22"/>
      <c r="PIY101" s="22"/>
      <c r="PIZ101" s="22"/>
      <c r="PJA101" s="22"/>
      <c r="PJB101" s="22"/>
      <c r="PJC101" s="22"/>
      <c r="PJD101" s="22"/>
      <c r="PJE101" s="22"/>
      <c r="PJF101" s="22"/>
      <c r="PJG101" s="22"/>
      <c r="PJH101" s="22"/>
      <c r="PJI101" s="22"/>
      <c r="PJJ101" s="22"/>
      <c r="PJK101" s="22"/>
      <c r="PJL101" s="22"/>
      <c r="PJM101" s="22"/>
      <c r="PJN101" s="22"/>
      <c r="PJO101" s="22"/>
      <c r="PJP101" s="22"/>
      <c r="PJQ101" s="22"/>
      <c r="PJR101" s="22"/>
      <c r="PJS101" s="22"/>
      <c r="PJT101" s="22"/>
      <c r="PJU101" s="22"/>
      <c r="PJV101" s="22"/>
      <c r="PJW101" s="22"/>
      <c r="PJX101" s="22"/>
      <c r="PJY101" s="22"/>
      <c r="PJZ101" s="22"/>
      <c r="PKA101" s="22"/>
      <c r="PKB101" s="22"/>
      <c r="PKC101" s="22"/>
      <c r="PKD101" s="22"/>
      <c r="PKE101" s="22"/>
      <c r="PKF101" s="22"/>
      <c r="PKG101" s="22"/>
      <c r="PKH101" s="22"/>
      <c r="PKI101" s="22"/>
      <c r="PKJ101" s="22"/>
      <c r="PKK101" s="22"/>
      <c r="PKL101" s="22"/>
      <c r="PKM101" s="22"/>
      <c r="PKN101" s="22"/>
      <c r="PKO101" s="22"/>
      <c r="PKP101" s="22"/>
      <c r="PKQ101" s="22"/>
      <c r="PKR101" s="22"/>
      <c r="PKS101" s="22"/>
      <c r="PKT101" s="22"/>
      <c r="PKU101" s="22"/>
      <c r="PKV101" s="22"/>
      <c r="PKW101" s="22"/>
      <c r="PKX101" s="22"/>
      <c r="PKY101" s="22"/>
      <c r="PKZ101" s="22"/>
      <c r="PLA101" s="22"/>
      <c r="PLB101" s="22"/>
      <c r="PLC101" s="22"/>
      <c r="PLD101" s="22"/>
      <c r="PLE101" s="22"/>
      <c r="PLF101" s="22"/>
      <c r="PLG101" s="22"/>
      <c r="PLH101" s="22"/>
      <c r="PLI101" s="22"/>
      <c r="PLJ101" s="22"/>
      <c r="PLK101" s="22"/>
      <c r="PLL101" s="22"/>
      <c r="PLM101" s="22"/>
      <c r="PLN101" s="22"/>
      <c r="PLO101" s="22"/>
      <c r="PLP101" s="22"/>
      <c r="PLQ101" s="22"/>
      <c r="PLR101" s="22"/>
      <c r="PLS101" s="22"/>
      <c r="PLT101" s="22"/>
      <c r="PLU101" s="22"/>
      <c r="PLV101" s="22"/>
      <c r="PLW101" s="22"/>
      <c r="PLX101" s="22"/>
      <c r="PLY101" s="22"/>
      <c r="PLZ101" s="22"/>
      <c r="PMA101" s="22"/>
      <c r="PMB101" s="22"/>
      <c r="PMC101" s="22"/>
      <c r="PMD101" s="22"/>
      <c r="PME101" s="22"/>
      <c r="PMF101" s="22"/>
      <c r="PMG101" s="22"/>
      <c r="PMH101" s="22"/>
      <c r="PMI101" s="22"/>
      <c r="PMJ101" s="22"/>
      <c r="PMK101" s="22"/>
      <c r="PML101" s="22"/>
      <c r="PMM101" s="22"/>
      <c r="PMN101" s="22"/>
      <c r="PMO101" s="22"/>
      <c r="PMP101" s="22"/>
      <c r="PMQ101" s="22"/>
      <c r="PMR101" s="22"/>
      <c r="PMS101" s="22"/>
      <c r="PMT101" s="22"/>
      <c r="PMU101" s="22"/>
      <c r="PMV101" s="22"/>
      <c r="PMW101" s="22"/>
      <c r="PMX101" s="22"/>
      <c r="PMY101" s="22"/>
      <c r="PMZ101" s="22"/>
      <c r="PNA101" s="22"/>
      <c r="PNB101" s="22"/>
      <c r="PNC101" s="22"/>
      <c r="PND101" s="22"/>
      <c r="PNE101" s="22"/>
      <c r="PNF101" s="22"/>
      <c r="PNG101" s="22"/>
      <c r="PNH101" s="22"/>
      <c r="PNI101" s="22"/>
      <c r="PNJ101" s="22"/>
      <c r="PNK101" s="22"/>
      <c r="PNL101" s="22"/>
      <c r="PNM101" s="22"/>
      <c r="PNN101" s="22"/>
      <c r="PNO101" s="22"/>
      <c r="PNP101" s="22"/>
      <c r="PNQ101" s="22"/>
      <c r="PNR101" s="22"/>
      <c r="PNS101" s="22"/>
      <c r="PNT101" s="22"/>
      <c r="PNU101" s="22"/>
      <c r="PNV101" s="22"/>
      <c r="PNW101" s="22"/>
      <c r="PNX101" s="22"/>
      <c r="PNY101" s="22"/>
      <c r="PNZ101" s="22"/>
      <c r="POA101" s="22"/>
      <c r="POB101" s="22"/>
      <c r="POC101" s="22"/>
      <c r="POD101" s="22"/>
      <c r="POE101" s="22"/>
      <c r="POF101" s="22"/>
      <c r="POG101" s="22"/>
      <c r="POH101" s="22"/>
      <c r="POI101" s="22"/>
      <c r="POJ101" s="22"/>
      <c r="POK101" s="22"/>
      <c r="POL101" s="22"/>
      <c r="POM101" s="22"/>
      <c r="PON101" s="22"/>
      <c r="POO101" s="22"/>
      <c r="POP101" s="22"/>
      <c r="POQ101" s="22"/>
      <c r="POR101" s="22"/>
      <c r="POS101" s="22"/>
      <c r="POT101" s="22"/>
      <c r="POU101" s="22"/>
      <c r="POV101" s="22"/>
      <c r="POW101" s="22"/>
      <c r="POX101" s="22"/>
      <c r="POY101" s="22"/>
      <c r="POZ101" s="22"/>
      <c r="PPA101" s="22"/>
      <c r="PPB101" s="22"/>
      <c r="PPC101" s="22"/>
      <c r="PPD101" s="22"/>
      <c r="PPE101" s="22"/>
      <c r="PPF101" s="22"/>
      <c r="PPG101" s="22"/>
      <c r="PPH101" s="22"/>
      <c r="PPI101" s="22"/>
      <c r="PPJ101" s="22"/>
      <c r="PPK101" s="22"/>
      <c r="PPL101" s="22"/>
      <c r="PPM101" s="22"/>
      <c r="PPN101" s="22"/>
      <c r="PPO101" s="22"/>
      <c r="PPP101" s="22"/>
      <c r="PPQ101" s="22"/>
      <c r="PPR101" s="22"/>
      <c r="PPS101" s="22"/>
      <c r="PPT101" s="22"/>
      <c r="PPU101" s="22"/>
      <c r="PPV101" s="22"/>
      <c r="PPW101" s="22"/>
      <c r="PPX101" s="22"/>
      <c r="PPY101" s="22"/>
      <c r="PPZ101" s="22"/>
      <c r="PQA101" s="22"/>
      <c r="PQB101" s="22"/>
      <c r="PQC101" s="22"/>
      <c r="PQD101" s="22"/>
      <c r="PQE101" s="22"/>
      <c r="PQF101" s="22"/>
      <c r="PQG101" s="22"/>
      <c r="PQH101" s="22"/>
      <c r="PQI101" s="22"/>
      <c r="PQJ101" s="22"/>
      <c r="PQK101" s="22"/>
      <c r="PQL101" s="22"/>
      <c r="PQM101" s="22"/>
      <c r="PQN101" s="22"/>
      <c r="PQO101" s="22"/>
      <c r="PQP101" s="22"/>
      <c r="PQQ101" s="22"/>
      <c r="PQR101" s="22"/>
      <c r="PQS101" s="22"/>
      <c r="PQT101" s="22"/>
      <c r="PQU101" s="22"/>
      <c r="PQV101" s="22"/>
      <c r="PQW101" s="22"/>
      <c r="PQX101" s="22"/>
      <c r="PQY101" s="22"/>
      <c r="PQZ101" s="22"/>
      <c r="PRA101" s="22"/>
      <c r="PRB101" s="22"/>
      <c r="PRC101" s="22"/>
      <c r="PRD101" s="22"/>
      <c r="PRE101" s="22"/>
      <c r="PRF101" s="22"/>
      <c r="PRG101" s="22"/>
      <c r="PRH101" s="22"/>
      <c r="PRI101" s="22"/>
      <c r="PRJ101" s="22"/>
      <c r="PRK101" s="22"/>
      <c r="PRL101" s="22"/>
      <c r="PRM101" s="22"/>
      <c r="PRN101" s="22"/>
      <c r="PRO101" s="22"/>
      <c r="PRP101" s="22"/>
      <c r="PRQ101" s="22"/>
      <c r="PRR101" s="22"/>
      <c r="PRS101" s="22"/>
      <c r="PRT101" s="22"/>
      <c r="PRU101" s="22"/>
      <c r="PRV101" s="22"/>
      <c r="PRW101" s="22"/>
      <c r="PRX101" s="22"/>
      <c r="PRY101" s="22"/>
      <c r="PRZ101" s="22"/>
      <c r="PSA101" s="22"/>
      <c r="PSB101" s="22"/>
      <c r="PSC101" s="22"/>
      <c r="PSD101" s="22"/>
      <c r="PSE101" s="22"/>
      <c r="PSF101" s="22"/>
      <c r="PSG101" s="22"/>
      <c r="PSH101" s="22"/>
      <c r="PSI101" s="22"/>
      <c r="PSJ101" s="22"/>
      <c r="PSK101" s="22"/>
      <c r="PSL101" s="22"/>
      <c r="PSM101" s="22"/>
      <c r="PSN101" s="22"/>
      <c r="PSO101" s="22"/>
      <c r="PSP101" s="22"/>
      <c r="PSQ101" s="22"/>
      <c r="PSR101" s="22"/>
      <c r="PSS101" s="22"/>
      <c r="PST101" s="22"/>
      <c r="PSU101" s="22"/>
      <c r="PSV101" s="22"/>
      <c r="PSW101" s="22"/>
      <c r="PSX101" s="22"/>
      <c r="PSY101" s="22"/>
      <c r="PSZ101" s="22"/>
      <c r="PTA101" s="22"/>
      <c r="PTB101" s="22"/>
      <c r="PTC101" s="22"/>
      <c r="PTD101" s="22"/>
      <c r="PTE101" s="22"/>
      <c r="PTF101" s="22"/>
      <c r="PTG101" s="22"/>
      <c r="PTH101" s="22"/>
      <c r="PTI101" s="22"/>
      <c r="PTJ101" s="22"/>
      <c r="PTK101" s="22"/>
      <c r="PTL101" s="22"/>
      <c r="PTM101" s="22"/>
      <c r="PTN101" s="22"/>
      <c r="PTO101" s="22"/>
      <c r="PTP101" s="22"/>
      <c r="PTQ101" s="22"/>
      <c r="PTR101" s="22"/>
      <c r="PTS101" s="22"/>
      <c r="PTT101" s="22"/>
      <c r="PTU101" s="22"/>
      <c r="PTV101" s="22"/>
      <c r="PTW101" s="22"/>
      <c r="PTX101" s="22"/>
      <c r="PTY101" s="22"/>
      <c r="PTZ101" s="22"/>
      <c r="PUA101" s="22"/>
      <c r="PUB101" s="22"/>
      <c r="PUC101" s="22"/>
      <c r="PUD101" s="22"/>
      <c r="PUE101" s="22"/>
      <c r="PUF101" s="22"/>
      <c r="PUG101" s="22"/>
      <c r="PUH101" s="22"/>
      <c r="PUI101" s="22"/>
      <c r="PUJ101" s="22"/>
      <c r="PUK101" s="22"/>
      <c r="PUL101" s="22"/>
      <c r="PUM101" s="22"/>
      <c r="PUN101" s="22"/>
      <c r="PUO101" s="22"/>
      <c r="PUP101" s="22"/>
      <c r="PUQ101" s="22"/>
      <c r="PUR101" s="22"/>
      <c r="PUS101" s="22"/>
      <c r="PUT101" s="22"/>
      <c r="PUU101" s="22"/>
      <c r="PUV101" s="22"/>
      <c r="PUW101" s="22"/>
      <c r="PUX101" s="22"/>
      <c r="PUY101" s="22"/>
      <c r="PUZ101" s="22"/>
      <c r="PVA101" s="22"/>
      <c r="PVB101" s="22"/>
      <c r="PVC101" s="22"/>
      <c r="PVD101" s="22"/>
      <c r="PVE101" s="22"/>
      <c r="PVF101" s="22"/>
      <c r="PVG101" s="22"/>
      <c r="PVH101" s="22"/>
      <c r="PVI101" s="22"/>
      <c r="PVJ101" s="22"/>
      <c r="PVK101" s="22"/>
      <c r="PVL101" s="22"/>
      <c r="PVM101" s="22"/>
      <c r="PVN101" s="22"/>
      <c r="PVO101" s="22"/>
      <c r="PVP101" s="22"/>
      <c r="PVQ101" s="22"/>
      <c r="PVR101" s="22"/>
      <c r="PVS101" s="22"/>
      <c r="PVT101" s="22"/>
      <c r="PVU101" s="22"/>
      <c r="PVV101" s="22"/>
      <c r="PVW101" s="22"/>
      <c r="PVX101" s="22"/>
      <c r="PVY101" s="22"/>
      <c r="PVZ101" s="22"/>
      <c r="PWA101" s="22"/>
      <c r="PWB101" s="22"/>
      <c r="PWC101" s="22"/>
      <c r="PWD101" s="22"/>
      <c r="PWE101" s="22"/>
      <c r="PWF101" s="22"/>
      <c r="PWG101" s="22"/>
      <c r="PWH101" s="22"/>
      <c r="PWI101" s="22"/>
      <c r="PWJ101" s="22"/>
      <c r="PWK101" s="22"/>
      <c r="PWL101" s="22"/>
      <c r="PWM101" s="22"/>
      <c r="PWN101" s="22"/>
      <c r="PWO101" s="22"/>
      <c r="PWP101" s="22"/>
      <c r="PWQ101" s="22"/>
      <c r="PWR101" s="22"/>
      <c r="PWS101" s="22"/>
      <c r="PWT101" s="22"/>
      <c r="PWU101" s="22"/>
      <c r="PWV101" s="22"/>
      <c r="PWW101" s="22"/>
      <c r="PWX101" s="22"/>
      <c r="PWY101" s="22"/>
      <c r="PWZ101" s="22"/>
      <c r="PXA101" s="22"/>
      <c r="PXB101" s="22"/>
      <c r="PXC101" s="22"/>
      <c r="PXD101" s="22"/>
      <c r="PXE101" s="22"/>
      <c r="PXF101" s="22"/>
      <c r="PXG101" s="22"/>
      <c r="PXH101" s="22"/>
      <c r="PXI101" s="22"/>
      <c r="PXJ101" s="22"/>
      <c r="PXK101" s="22"/>
      <c r="PXL101" s="22"/>
      <c r="PXM101" s="22"/>
      <c r="PXN101" s="22"/>
      <c r="PXO101" s="22"/>
      <c r="PXP101" s="22"/>
      <c r="PXQ101" s="22"/>
      <c r="PXR101" s="22"/>
      <c r="PXS101" s="22"/>
      <c r="PXT101" s="22"/>
      <c r="PXU101" s="22"/>
      <c r="PXV101" s="22"/>
      <c r="PXW101" s="22"/>
      <c r="PXX101" s="22"/>
      <c r="PXY101" s="22"/>
      <c r="PXZ101" s="22"/>
      <c r="PYA101" s="22"/>
      <c r="PYB101" s="22"/>
      <c r="PYC101" s="22"/>
      <c r="PYD101" s="22"/>
      <c r="PYE101" s="22"/>
      <c r="PYF101" s="22"/>
      <c r="PYG101" s="22"/>
      <c r="PYH101" s="22"/>
      <c r="PYI101" s="22"/>
      <c r="PYJ101" s="22"/>
      <c r="PYK101" s="22"/>
      <c r="PYL101" s="22"/>
      <c r="PYM101" s="22"/>
      <c r="PYN101" s="22"/>
      <c r="PYO101" s="22"/>
      <c r="PYP101" s="22"/>
      <c r="PYQ101" s="22"/>
      <c r="PYR101" s="22"/>
      <c r="PYS101" s="22"/>
      <c r="PYT101" s="22"/>
      <c r="PYU101" s="22"/>
      <c r="PYV101" s="22"/>
      <c r="PYW101" s="22"/>
      <c r="PYX101" s="22"/>
      <c r="PYY101" s="22"/>
      <c r="PYZ101" s="22"/>
      <c r="PZA101" s="22"/>
      <c r="PZB101" s="22"/>
      <c r="PZC101" s="22"/>
      <c r="PZD101" s="22"/>
      <c r="PZE101" s="22"/>
      <c r="PZF101" s="22"/>
      <c r="PZG101" s="22"/>
      <c r="PZH101" s="22"/>
      <c r="PZI101" s="22"/>
      <c r="PZJ101" s="22"/>
      <c r="PZK101" s="22"/>
      <c r="PZL101" s="22"/>
      <c r="PZM101" s="22"/>
      <c r="PZN101" s="22"/>
      <c r="PZO101" s="22"/>
      <c r="PZP101" s="22"/>
      <c r="PZQ101" s="22"/>
      <c r="PZR101" s="22"/>
      <c r="PZS101" s="22"/>
      <c r="PZT101" s="22"/>
      <c r="PZU101" s="22"/>
      <c r="PZV101" s="22"/>
      <c r="PZW101" s="22"/>
      <c r="PZX101" s="22"/>
      <c r="PZY101" s="22"/>
      <c r="PZZ101" s="22"/>
      <c r="QAA101" s="22"/>
      <c r="QAB101" s="22"/>
      <c r="QAC101" s="22"/>
      <c r="QAD101" s="22"/>
      <c r="QAE101" s="22"/>
      <c r="QAF101" s="22"/>
      <c r="QAG101" s="22"/>
      <c r="QAH101" s="22"/>
      <c r="QAI101" s="22"/>
      <c r="QAJ101" s="22"/>
      <c r="QAK101" s="22"/>
      <c r="QAL101" s="22"/>
      <c r="QAM101" s="22"/>
      <c r="QAN101" s="22"/>
      <c r="QAO101" s="22"/>
      <c r="QAP101" s="22"/>
      <c r="QAQ101" s="22"/>
      <c r="QAR101" s="22"/>
      <c r="QAS101" s="22"/>
      <c r="QAT101" s="22"/>
      <c r="QAU101" s="22"/>
      <c r="QAV101" s="22"/>
      <c r="QAW101" s="22"/>
      <c r="QAX101" s="22"/>
      <c r="QAY101" s="22"/>
      <c r="QAZ101" s="22"/>
      <c r="QBA101" s="22"/>
      <c r="QBB101" s="22"/>
      <c r="QBC101" s="22"/>
      <c r="QBD101" s="22"/>
      <c r="QBE101" s="22"/>
      <c r="QBF101" s="22"/>
      <c r="QBG101" s="22"/>
      <c r="QBH101" s="22"/>
      <c r="QBI101" s="22"/>
      <c r="QBJ101" s="22"/>
      <c r="QBK101" s="22"/>
      <c r="QBL101" s="22"/>
      <c r="QBM101" s="22"/>
      <c r="QBN101" s="22"/>
      <c r="QBO101" s="22"/>
      <c r="QBP101" s="22"/>
      <c r="QBQ101" s="22"/>
      <c r="QBR101" s="22"/>
      <c r="QBS101" s="22"/>
      <c r="QBT101" s="22"/>
      <c r="QBU101" s="22"/>
      <c r="QBV101" s="22"/>
      <c r="QBW101" s="22"/>
      <c r="QBX101" s="22"/>
      <c r="QBY101" s="22"/>
      <c r="QBZ101" s="22"/>
      <c r="QCA101" s="22"/>
      <c r="QCB101" s="22"/>
      <c r="QCC101" s="22"/>
      <c r="QCD101" s="22"/>
      <c r="QCE101" s="22"/>
      <c r="QCF101" s="22"/>
      <c r="QCG101" s="22"/>
      <c r="QCH101" s="22"/>
      <c r="QCI101" s="22"/>
      <c r="QCJ101" s="22"/>
      <c r="QCK101" s="22"/>
      <c r="QCL101" s="22"/>
      <c r="QCM101" s="22"/>
      <c r="QCN101" s="22"/>
      <c r="QCO101" s="22"/>
      <c r="QCP101" s="22"/>
      <c r="QCQ101" s="22"/>
      <c r="QCR101" s="22"/>
      <c r="QCS101" s="22"/>
      <c r="QCT101" s="22"/>
      <c r="QCU101" s="22"/>
      <c r="QCV101" s="22"/>
      <c r="QCW101" s="22"/>
      <c r="QCX101" s="22"/>
      <c r="QCY101" s="22"/>
      <c r="QCZ101" s="22"/>
      <c r="QDA101" s="22"/>
      <c r="QDB101" s="22"/>
      <c r="QDC101" s="22"/>
      <c r="QDD101" s="22"/>
      <c r="QDE101" s="22"/>
      <c r="QDF101" s="22"/>
      <c r="QDG101" s="22"/>
      <c r="QDH101" s="22"/>
      <c r="QDI101" s="22"/>
      <c r="QDJ101" s="22"/>
      <c r="QDK101" s="22"/>
      <c r="QDL101" s="22"/>
      <c r="QDM101" s="22"/>
      <c r="QDN101" s="22"/>
      <c r="QDO101" s="22"/>
      <c r="QDP101" s="22"/>
      <c r="QDQ101" s="22"/>
      <c r="QDR101" s="22"/>
      <c r="QDS101" s="22"/>
      <c r="QDT101" s="22"/>
      <c r="QDU101" s="22"/>
      <c r="QDV101" s="22"/>
      <c r="QDW101" s="22"/>
      <c r="QDX101" s="22"/>
      <c r="QDY101" s="22"/>
      <c r="QDZ101" s="22"/>
      <c r="QEA101" s="22"/>
      <c r="QEB101" s="22"/>
      <c r="QEC101" s="22"/>
      <c r="QED101" s="22"/>
      <c r="QEE101" s="22"/>
      <c r="QEF101" s="22"/>
      <c r="QEG101" s="22"/>
      <c r="QEH101" s="22"/>
      <c r="QEI101" s="22"/>
      <c r="QEJ101" s="22"/>
      <c r="QEK101" s="22"/>
      <c r="QEL101" s="22"/>
      <c r="QEM101" s="22"/>
      <c r="QEN101" s="22"/>
      <c r="QEO101" s="22"/>
      <c r="QEP101" s="22"/>
      <c r="QEQ101" s="22"/>
      <c r="QER101" s="22"/>
      <c r="QES101" s="22"/>
      <c r="QET101" s="22"/>
      <c r="QEU101" s="22"/>
      <c r="QEV101" s="22"/>
      <c r="QEW101" s="22"/>
      <c r="QEX101" s="22"/>
      <c r="QEY101" s="22"/>
      <c r="QEZ101" s="22"/>
      <c r="QFA101" s="22"/>
      <c r="QFB101" s="22"/>
      <c r="QFC101" s="22"/>
      <c r="QFD101" s="22"/>
      <c r="QFE101" s="22"/>
      <c r="QFF101" s="22"/>
      <c r="QFG101" s="22"/>
      <c r="QFH101" s="22"/>
      <c r="QFI101" s="22"/>
      <c r="QFJ101" s="22"/>
      <c r="QFK101" s="22"/>
      <c r="QFL101" s="22"/>
      <c r="QFM101" s="22"/>
      <c r="QFN101" s="22"/>
      <c r="QFO101" s="22"/>
      <c r="QFP101" s="22"/>
      <c r="QFQ101" s="22"/>
      <c r="QFR101" s="22"/>
      <c r="QFS101" s="22"/>
      <c r="QFT101" s="22"/>
      <c r="QFU101" s="22"/>
      <c r="QFV101" s="22"/>
      <c r="QFW101" s="22"/>
      <c r="QFX101" s="22"/>
      <c r="QFY101" s="22"/>
      <c r="QFZ101" s="22"/>
      <c r="QGA101" s="22"/>
      <c r="QGB101" s="22"/>
      <c r="QGC101" s="22"/>
      <c r="QGD101" s="22"/>
      <c r="QGE101" s="22"/>
      <c r="QGF101" s="22"/>
      <c r="QGG101" s="22"/>
      <c r="QGH101" s="22"/>
      <c r="QGI101" s="22"/>
      <c r="QGJ101" s="22"/>
      <c r="QGK101" s="22"/>
      <c r="QGL101" s="22"/>
      <c r="QGM101" s="22"/>
      <c r="QGN101" s="22"/>
      <c r="QGO101" s="22"/>
      <c r="QGP101" s="22"/>
      <c r="QGQ101" s="22"/>
      <c r="QGR101" s="22"/>
      <c r="QGS101" s="22"/>
      <c r="QGT101" s="22"/>
      <c r="QGU101" s="22"/>
      <c r="QGV101" s="22"/>
      <c r="QGW101" s="22"/>
      <c r="QGX101" s="22"/>
      <c r="QGY101" s="22"/>
      <c r="QGZ101" s="22"/>
      <c r="QHA101" s="22"/>
      <c r="QHB101" s="22"/>
      <c r="QHC101" s="22"/>
      <c r="QHD101" s="22"/>
      <c r="QHE101" s="22"/>
      <c r="QHF101" s="22"/>
      <c r="QHG101" s="22"/>
      <c r="QHH101" s="22"/>
      <c r="QHI101" s="22"/>
      <c r="QHJ101" s="22"/>
      <c r="QHK101" s="22"/>
      <c r="QHL101" s="22"/>
      <c r="QHM101" s="22"/>
      <c r="QHN101" s="22"/>
      <c r="QHO101" s="22"/>
      <c r="QHP101" s="22"/>
      <c r="QHQ101" s="22"/>
      <c r="QHR101" s="22"/>
      <c r="QHS101" s="22"/>
      <c r="QHT101" s="22"/>
      <c r="QHU101" s="22"/>
      <c r="QHV101" s="22"/>
      <c r="QHW101" s="22"/>
      <c r="QHX101" s="22"/>
      <c r="QHY101" s="22"/>
      <c r="QHZ101" s="22"/>
      <c r="QIA101" s="22"/>
      <c r="QIB101" s="22"/>
      <c r="QIC101" s="22"/>
      <c r="QID101" s="22"/>
      <c r="QIE101" s="22"/>
      <c r="QIF101" s="22"/>
      <c r="QIG101" s="22"/>
      <c r="QIH101" s="22"/>
      <c r="QII101" s="22"/>
      <c r="QIJ101" s="22"/>
      <c r="QIK101" s="22"/>
      <c r="QIL101" s="22"/>
      <c r="QIM101" s="22"/>
      <c r="QIN101" s="22"/>
      <c r="QIO101" s="22"/>
      <c r="QIP101" s="22"/>
      <c r="QIQ101" s="22"/>
      <c r="QIR101" s="22"/>
      <c r="QIS101" s="22"/>
      <c r="QIT101" s="22"/>
      <c r="QIU101" s="22"/>
      <c r="QIV101" s="22"/>
      <c r="QIW101" s="22"/>
      <c r="QIX101" s="22"/>
      <c r="QIY101" s="22"/>
      <c r="QIZ101" s="22"/>
      <c r="QJA101" s="22"/>
      <c r="QJB101" s="22"/>
      <c r="QJC101" s="22"/>
      <c r="QJD101" s="22"/>
      <c r="QJE101" s="22"/>
      <c r="QJF101" s="22"/>
      <c r="QJG101" s="22"/>
      <c r="QJH101" s="22"/>
      <c r="QJI101" s="22"/>
      <c r="QJJ101" s="22"/>
      <c r="QJK101" s="22"/>
      <c r="QJL101" s="22"/>
      <c r="QJM101" s="22"/>
      <c r="QJN101" s="22"/>
      <c r="QJO101" s="22"/>
      <c r="QJP101" s="22"/>
      <c r="QJQ101" s="22"/>
      <c r="QJR101" s="22"/>
      <c r="QJS101" s="22"/>
      <c r="QJT101" s="22"/>
      <c r="QJU101" s="22"/>
      <c r="QJV101" s="22"/>
      <c r="QJW101" s="22"/>
      <c r="QJX101" s="22"/>
      <c r="QJY101" s="22"/>
      <c r="QJZ101" s="22"/>
      <c r="QKA101" s="22"/>
      <c r="QKB101" s="22"/>
      <c r="QKC101" s="22"/>
      <c r="QKD101" s="22"/>
      <c r="QKE101" s="22"/>
      <c r="QKF101" s="22"/>
      <c r="QKG101" s="22"/>
      <c r="QKH101" s="22"/>
      <c r="QKI101" s="22"/>
      <c r="QKJ101" s="22"/>
      <c r="QKK101" s="22"/>
      <c r="QKL101" s="22"/>
      <c r="QKM101" s="22"/>
      <c r="QKN101" s="22"/>
      <c r="QKO101" s="22"/>
      <c r="QKP101" s="22"/>
      <c r="QKQ101" s="22"/>
      <c r="QKR101" s="22"/>
      <c r="QKS101" s="22"/>
      <c r="QKT101" s="22"/>
      <c r="QKU101" s="22"/>
      <c r="QKV101" s="22"/>
      <c r="QKW101" s="22"/>
      <c r="QKX101" s="22"/>
      <c r="QKY101" s="22"/>
      <c r="QKZ101" s="22"/>
      <c r="QLA101" s="22"/>
      <c r="QLB101" s="22"/>
      <c r="QLC101" s="22"/>
      <c r="QLD101" s="22"/>
      <c r="QLE101" s="22"/>
      <c r="QLF101" s="22"/>
      <c r="QLG101" s="22"/>
      <c r="QLH101" s="22"/>
      <c r="QLI101" s="22"/>
      <c r="QLJ101" s="22"/>
      <c r="QLK101" s="22"/>
      <c r="QLL101" s="22"/>
      <c r="QLM101" s="22"/>
      <c r="QLN101" s="22"/>
      <c r="QLO101" s="22"/>
      <c r="QLP101" s="22"/>
      <c r="QLQ101" s="22"/>
      <c r="QLR101" s="22"/>
      <c r="QLS101" s="22"/>
      <c r="QLT101" s="22"/>
      <c r="QLU101" s="22"/>
      <c r="QLV101" s="22"/>
      <c r="QLW101" s="22"/>
      <c r="QLX101" s="22"/>
      <c r="QLY101" s="22"/>
      <c r="QLZ101" s="22"/>
      <c r="QMA101" s="22"/>
      <c r="QMB101" s="22"/>
      <c r="QMC101" s="22"/>
      <c r="QMD101" s="22"/>
      <c r="QME101" s="22"/>
      <c r="QMF101" s="22"/>
      <c r="QMG101" s="22"/>
      <c r="QMH101" s="22"/>
      <c r="QMI101" s="22"/>
      <c r="QMJ101" s="22"/>
      <c r="QMK101" s="22"/>
      <c r="QML101" s="22"/>
      <c r="QMM101" s="22"/>
      <c r="QMN101" s="22"/>
      <c r="QMO101" s="22"/>
      <c r="QMP101" s="22"/>
      <c r="QMQ101" s="22"/>
      <c r="QMR101" s="22"/>
      <c r="QMS101" s="22"/>
      <c r="QMT101" s="22"/>
      <c r="QMU101" s="22"/>
      <c r="QMV101" s="22"/>
      <c r="QMW101" s="22"/>
      <c r="QMX101" s="22"/>
      <c r="QMY101" s="22"/>
      <c r="QMZ101" s="22"/>
      <c r="QNA101" s="22"/>
      <c r="QNB101" s="22"/>
      <c r="QNC101" s="22"/>
      <c r="QND101" s="22"/>
      <c r="QNE101" s="22"/>
      <c r="QNF101" s="22"/>
      <c r="QNG101" s="22"/>
      <c r="QNH101" s="22"/>
      <c r="QNI101" s="22"/>
      <c r="QNJ101" s="22"/>
      <c r="QNK101" s="22"/>
      <c r="QNL101" s="22"/>
      <c r="QNM101" s="22"/>
      <c r="QNN101" s="22"/>
      <c r="QNO101" s="22"/>
      <c r="QNP101" s="22"/>
      <c r="QNQ101" s="22"/>
      <c r="QNR101" s="22"/>
      <c r="QNS101" s="22"/>
      <c r="QNT101" s="22"/>
      <c r="QNU101" s="22"/>
      <c r="QNV101" s="22"/>
      <c r="QNW101" s="22"/>
      <c r="QNX101" s="22"/>
      <c r="QNY101" s="22"/>
      <c r="QNZ101" s="22"/>
      <c r="QOA101" s="22"/>
      <c r="QOB101" s="22"/>
      <c r="QOC101" s="22"/>
      <c r="QOD101" s="22"/>
      <c r="QOE101" s="22"/>
      <c r="QOF101" s="22"/>
      <c r="QOG101" s="22"/>
      <c r="QOH101" s="22"/>
      <c r="QOI101" s="22"/>
      <c r="QOJ101" s="22"/>
      <c r="QOK101" s="22"/>
      <c r="QOL101" s="22"/>
      <c r="QOM101" s="22"/>
      <c r="QON101" s="22"/>
      <c r="QOO101" s="22"/>
      <c r="QOP101" s="22"/>
      <c r="QOQ101" s="22"/>
      <c r="QOR101" s="22"/>
      <c r="QOS101" s="22"/>
      <c r="QOT101" s="22"/>
      <c r="QOU101" s="22"/>
      <c r="QOV101" s="22"/>
      <c r="QOW101" s="22"/>
      <c r="QOX101" s="22"/>
      <c r="QOY101" s="22"/>
      <c r="QOZ101" s="22"/>
      <c r="QPA101" s="22"/>
      <c r="QPB101" s="22"/>
      <c r="QPC101" s="22"/>
      <c r="QPD101" s="22"/>
      <c r="QPE101" s="22"/>
      <c r="QPF101" s="22"/>
      <c r="QPG101" s="22"/>
      <c r="QPH101" s="22"/>
      <c r="QPI101" s="22"/>
      <c r="QPJ101" s="22"/>
      <c r="QPK101" s="22"/>
      <c r="QPL101" s="22"/>
      <c r="QPM101" s="22"/>
      <c r="QPN101" s="22"/>
      <c r="QPO101" s="22"/>
      <c r="QPP101" s="22"/>
      <c r="QPQ101" s="22"/>
      <c r="QPR101" s="22"/>
      <c r="QPS101" s="22"/>
      <c r="QPT101" s="22"/>
      <c r="QPU101" s="22"/>
      <c r="QPV101" s="22"/>
      <c r="QPW101" s="22"/>
      <c r="QPX101" s="22"/>
      <c r="QPY101" s="22"/>
      <c r="QPZ101" s="22"/>
      <c r="QQA101" s="22"/>
      <c r="QQB101" s="22"/>
      <c r="QQC101" s="22"/>
      <c r="QQD101" s="22"/>
      <c r="QQE101" s="22"/>
      <c r="QQF101" s="22"/>
      <c r="QQG101" s="22"/>
      <c r="QQH101" s="22"/>
      <c r="QQI101" s="22"/>
      <c r="QQJ101" s="22"/>
      <c r="QQK101" s="22"/>
      <c r="QQL101" s="22"/>
      <c r="QQM101" s="22"/>
      <c r="QQN101" s="22"/>
      <c r="QQO101" s="22"/>
      <c r="QQP101" s="22"/>
      <c r="QQQ101" s="22"/>
      <c r="QQR101" s="22"/>
      <c r="QQS101" s="22"/>
      <c r="QQT101" s="22"/>
      <c r="QQU101" s="22"/>
      <c r="QQV101" s="22"/>
      <c r="QQW101" s="22"/>
      <c r="QQX101" s="22"/>
      <c r="QQY101" s="22"/>
      <c r="QQZ101" s="22"/>
      <c r="QRA101" s="22"/>
      <c r="QRB101" s="22"/>
      <c r="QRC101" s="22"/>
      <c r="QRD101" s="22"/>
      <c r="QRE101" s="22"/>
      <c r="QRF101" s="22"/>
      <c r="QRG101" s="22"/>
      <c r="QRH101" s="22"/>
      <c r="QRI101" s="22"/>
      <c r="QRJ101" s="22"/>
      <c r="QRK101" s="22"/>
      <c r="QRL101" s="22"/>
      <c r="QRM101" s="22"/>
      <c r="QRN101" s="22"/>
      <c r="QRO101" s="22"/>
      <c r="QRP101" s="22"/>
      <c r="QRQ101" s="22"/>
      <c r="QRR101" s="22"/>
      <c r="QRS101" s="22"/>
      <c r="QRT101" s="22"/>
      <c r="QRU101" s="22"/>
      <c r="QRV101" s="22"/>
      <c r="QRW101" s="22"/>
      <c r="QRX101" s="22"/>
      <c r="QRY101" s="22"/>
      <c r="QRZ101" s="22"/>
      <c r="QSA101" s="22"/>
      <c r="QSB101" s="22"/>
      <c r="QSC101" s="22"/>
      <c r="QSD101" s="22"/>
      <c r="QSE101" s="22"/>
      <c r="QSF101" s="22"/>
      <c r="QSG101" s="22"/>
      <c r="QSH101" s="22"/>
      <c r="QSI101" s="22"/>
      <c r="QSJ101" s="22"/>
      <c r="QSK101" s="22"/>
      <c r="QSL101" s="22"/>
      <c r="QSM101" s="22"/>
      <c r="QSN101" s="22"/>
      <c r="QSO101" s="22"/>
      <c r="QSP101" s="22"/>
      <c r="QSQ101" s="22"/>
      <c r="QSR101" s="22"/>
      <c r="QSS101" s="22"/>
      <c r="QST101" s="22"/>
      <c r="QSU101" s="22"/>
      <c r="QSV101" s="22"/>
      <c r="QSW101" s="22"/>
      <c r="QSX101" s="22"/>
      <c r="QSY101" s="22"/>
      <c r="QSZ101" s="22"/>
      <c r="QTA101" s="22"/>
      <c r="QTB101" s="22"/>
      <c r="QTC101" s="22"/>
      <c r="QTD101" s="22"/>
      <c r="QTE101" s="22"/>
      <c r="QTF101" s="22"/>
      <c r="QTG101" s="22"/>
      <c r="QTH101" s="22"/>
      <c r="QTI101" s="22"/>
      <c r="QTJ101" s="22"/>
      <c r="QTK101" s="22"/>
      <c r="QTL101" s="22"/>
      <c r="QTM101" s="22"/>
      <c r="QTN101" s="22"/>
      <c r="QTO101" s="22"/>
      <c r="QTP101" s="22"/>
      <c r="QTQ101" s="22"/>
      <c r="QTR101" s="22"/>
      <c r="QTS101" s="22"/>
      <c r="QTT101" s="22"/>
      <c r="QTU101" s="22"/>
      <c r="QTV101" s="22"/>
      <c r="QTW101" s="22"/>
      <c r="QTX101" s="22"/>
      <c r="QTY101" s="22"/>
      <c r="QTZ101" s="22"/>
      <c r="QUA101" s="22"/>
      <c r="QUB101" s="22"/>
      <c r="QUC101" s="22"/>
      <c r="QUD101" s="22"/>
      <c r="QUE101" s="22"/>
      <c r="QUF101" s="22"/>
      <c r="QUG101" s="22"/>
      <c r="QUH101" s="22"/>
      <c r="QUI101" s="22"/>
      <c r="QUJ101" s="22"/>
      <c r="QUK101" s="22"/>
      <c r="QUL101" s="22"/>
      <c r="QUM101" s="22"/>
      <c r="QUN101" s="22"/>
      <c r="QUO101" s="22"/>
      <c r="QUP101" s="22"/>
      <c r="QUQ101" s="22"/>
      <c r="QUR101" s="22"/>
      <c r="QUS101" s="22"/>
      <c r="QUT101" s="22"/>
      <c r="QUU101" s="22"/>
      <c r="QUV101" s="22"/>
      <c r="QUW101" s="22"/>
      <c r="QUX101" s="22"/>
      <c r="QUY101" s="22"/>
      <c r="QUZ101" s="22"/>
      <c r="QVA101" s="22"/>
      <c r="QVB101" s="22"/>
      <c r="QVC101" s="22"/>
      <c r="QVD101" s="22"/>
      <c r="QVE101" s="22"/>
      <c r="QVF101" s="22"/>
      <c r="QVG101" s="22"/>
      <c r="QVH101" s="22"/>
      <c r="QVI101" s="22"/>
      <c r="QVJ101" s="22"/>
      <c r="QVK101" s="22"/>
      <c r="QVL101" s="22"/>
      <c r="QVM101" s="22"/>
      <c r="QVN101" s="22"/>
      <c r="QVO101" s="22"/>
      <c r="QVP101" s="22"/>
      <c r="QVQ101" s="22"/>
      <c r="QVR101" s="22"/>
      <c r="QVS101" s="22"/>
      <c r="QVT101" s="22"/>
      <c r="QVU101" s="22"/>
      <c r="QVV101" s="22"/>
      <c r="QVW101" s="22"/>
      <c r="QVX101" s="22"/>
      <c r="QVY101" s="22"/>
      <c r="QVZ101" s="22"/>
      <c r="QWA101" s="22"/>
      <c r="QWB101" s="22"/>
      <c r="QWC101" s="22"/>
      <c r="QWD101" s="22"/>
      <c r="QWE101" s="22"/>
      <c r="QWF101" s="22"/>
      <c r="QWG101" s="22"/>
      <c r="QWH101" s="22"/>
      <c r="QWI101" s="22"/>
      <c r="QWJ101" s="22"/>
      <c r="QWK101" s="22"/>
      <c r="QWL101" s="22"/>
      <c r="QWM101" s="22"/>
      <c r="QWN101" s="22"/>
      <c r="QWO101" s="22"/>
      <c r="QWP101" s="22"/>
      <c r="QWQ101" s="22"/>
      <c r="QWR101" s="22"/>
      <c r="QWS101" s="22"/>
      <c r="QWT101" s="22"/>
      <c r="QWU101" s="22"/>
      <c r="QWV101" s="22"/>
      <c r="QWW101" s="22"/>
      <c r="QWX101" s="22"/>
      <c r="QWY101" s="22"/>
      <c r="QWZ101" s="22"/>
      <c r="QXA101" s="22"/>
      <c r="QXB101" s="22"/>
      <c r="QXC101" s="22"/>
      <c r="QXD101" s="22"/>
      <c r="QXE101" s="22"/>
      <c r="QXF101" s="22"/>
      <c r="QXG101" s="22"/>
      <c r="QXH101" s="22"/>
      <c r="QXI101" s="22"/>
      <c r="QXJ101" s="22"/>
      <c r="QXK101" s="22"/>
      <c r="QXL101" s="22"/>
      <c r="QXM101" s="22"/>
      <c r="QXN101" s="22"/>
      <c r="QXO101" s="22"/>
      <c r="QXP101" s="22"/>
      <c r="QXQ101" s="22"/>
      <c r="QXR101" s="22"/>
      <c r="QXS101" s="22"/>
      <c r="QXT101" s="22"/>
      <c r="QXU101" s="22"/>
      <c r="QXV101" s="22"/>
      <c r="QXW101" s="22"/>
      <c r="QXX101" s="22"/>
      <c r="QXY101" s="22"/>
      <c r="QXZ101" s="22"/>
      <c r="QYA101" s="22"/>
      <c r="QYB101" s="22"/>
      <c r="QYC101" s="22"/>
      <c r="QYD101" s="22"/>
      <c r="QYE101" s="22"/>
      <c r="QYF101" s="22"/>
      <c r="QYG101" s="22"/>
      <c r="QYH101" s="22"/>
      <c r="QYI101" s="22"/>
      <c r="QYJ101" s="22"/>
      <c r="QYK101" s="22"/>
      <c r="QYL101" s="22"/>
      <c r="QYM101" s="22"/>
      <c r="QYN101" s="22"/>
      <c r="QYO101" s="22"/>
      <c r="QYP101" s="22"/>
      <c r="QYQ101" s="22"/>
      <c r="QYR101" s="22"/>
      <c r="QYS101" s="22"/>
      <c r="QYT101" s="22"/>
      <c r="QYU101" s="22"/>
      <c r="QYV101" s="22"/>
      <c r="QYW101" s="22"/>
      <c r="QYX101" s="22"/>
      <c r="QYY101" s="22"/>
      <c r="QYZ101" s="22"/>
      <c r="QZA101" s="22"/>
      <c r="QZB101" s="22"/>
      <c r="QZC101" s="22"/>
      <c r="QZD101" s="22"/>
      <c r="QZE101" s="22"/>
      <c r="QZF101" s="22"/>
      <c r="QZG101" s="22"/>
      <c r="QZH101" s="22"/>
      <c r="QZI101" s="22"/>
      <c r="QZJ101" s="22"/>
      <c r="QZK101" s="22"/>
      <c r="QZL101" s="22"/>
      <c r="QZM101" s="22"/>
      <c r="QZN101" s="22"/>
      <c r="QZO101" s="22"/>
      <c r="QZP101" s="22"/>
      <c r="QZQ101" s="22"/>
      <c r="QZR101" s="22"/>
      <c r="QZS101" s="22"/>
      <c r="QZT101" s="22"/>
      <c r="QZU101" s="22"/>
      <c r="QZV101" s="22"/>
      <c r="QZW101" s="22"/>
      <c r="QZX101" s="22"/>
      <c r="QZY101" s="22"/>
      <c r="QZZ101" s="22"/>
      <c r="RAA101" s="22"/>
      <c r="RAB101" s="22"/>
      <c r="RAC101" s="22"/>
      <c r="RAD101" s="22"/>
      <c r="RAE101" s="22"/>
      <c r="RAF101" s="22"/>
      <c r="RAG101" s="22"/>
      <c r="RAH101" s="22"/>
      <c r="RAI101" s="22"/>
      <c r="RAJ101" s="22"/>
      <c r="RAK101" s="22"/>
      <c r="RAL101" s="22"/>
      <c r="RAM101" s="22"/>
      <c r="RAN101" s="22"/>
      <c r="RAO101" s="22"/>
      <c r="RAP101" s="22"/>
      <c r="RAQ101" s="22"/>
      <c r="RAR101" s="22"/>
      <c r="RAS101" s="22"/>
      <c r="RAT101" s="22"/>
      <c r="RAU101" s="22"/>
      <c r="RAV101" s="22"/>
      <c r="RAW101" s="22"/>
      <c r="RAX101" s="22"/>
      <c r="RAY101" s="22"/>
      <c r="RAZ101" s="22"/>
      <c r="RBA101" s="22"/>
      <c r="RBB101" s="22"/>
      <c r="RBC101" s="22"/>
      <c r="RBD101" s="22"/>
      <c r="RBE101" s="22"/>
      <c r="RBF101" s="22"/>
      <c r="RBG101" s="22"/>
      <c r="RBH101" s="22"/>
      <c r="RBI101" s="22"/>
      <c r="RBJ101" s="22"/>
      <c r="RBK101" s="22"/>
      <c r="RBL101" s="22"/>
      <c r="RBM101" s="22"/>
      <c r="RBN101" s="22"/>
      <c r="RBO101" s="22"/>
      <c r="RBP101" s="22"/>
      <c r="RBQ101" s="22"/>
      <c r="RBR101" s="22"/>
      <c r="RBS101" s="22"/>
      <c r="RBT101" s="22"/>
      <c r="RBU101" s="22"/>
      <c r="RBV101" s="22"/>
      <c r="RBW101" s="22"/>
      <c r="RBX101" s="22"/>
      <c r="RBY101" s="22"/>
      <c r="RBZ101" s="22"/>
      <c r="RCA101" s="22"/>
      <c r="RCB101" s="22"/>
      <c r="RCC101" s="22"/>
      <c r="RCD101" s="22"/>
      <c r="RCE101" s="22"/>
      <c r="RCF101" s="22"/>
      <c r="RCG101" s="22"/>
      <c r="RCH101" s="22"/>
      <c r="RCI101" s="22"/>
      <c r="RCJ101" s="22"/>
      <c r="RCK101" s="22"/>
      <c r="RCL101" s="22"/>
      <c r="RCM101" s="22"/>
      <c r="RCN101" s="22"/>
      <c r="RCO101" s="22"/>
      <c r="RCP101" s="22"/>
      <c r="RCQ101" s="22"/>
      <c r="RCR101" s="22"/>
      <c r="RCS101" s="22"/>
      <c r="RCT101" s="22"/>
      <c r="RCU101" s="22"/>
      <c r="RCV101" s="22"/>
      <c r="RCW101" s="22"/>
      <c r="RCX101" s="22"/>
      <c r="RCY101" s="22"/>
      <c r="RCZ101" s="22"/>
      <c r="RDA101" s="22"/>
      <c r="RDB101" s="22"/>
      <c r="RDC101" s="22"/>
      <c r="RDD101" s="22"/>
      <c r="RDE101" s="22"/>
      <c r="RDF101" s="22"/>
      <c r="RDG101" s="22"/>
      <c r="RDH101" s="22"/>
      <c r="RDI101" s="22"/>
      <c r="RDJ101" s="22"/>
      <c r="RDK101" s="22"/>
      <c r="RDL101" s="22"/>
      <c r="RDM101" s="22"/>
      <c r="RDN101" s="22"/>
      <c r="RDO101" s="22"/>
      <c r="RDP101" s="22"/>
      <c r="RDQ101" s="22"/>
      <c r="RDR101" s="22"/>
      <c r="RDS101" s="22"/>
      <c r="RDT101" s="22"/>
      <c r="RDU101" s="22"/>
      <c r="RDV101" s="22"/>
      <c r="RDW101" s="22"/>
      <c r="RDX101" s="22"/>
      <c r="RDY101" s="22"/>
      <c r="RDZ101" s="22"/>
      <c r="REA101" s="22"/>
      <c r="REB101" s="22"/>
      <c r="REC101" s="22"/>
      <c r="RED101" s="22"/>
      <c r="REE101" s="22"/>
      <c r="REF101" s="22"/>
      <c r="REG101" s="22"/>
      <c r="REH101" s="22"/>
      <c r="REI101" s="22"/>
      <c r="REJ101" s="22"/>
      <c r="REK101" s="22"/>
      <c r="REL101" s="22"/>
      <c r="REM101" s="22"/>
      <c r="REN101" s="22"/>
      <c r="REO101" s="22"/>
      <c r="REP101" s="22"/>
      <c r="REQ101" s="22"/>
      <c r="RER101" s="22"/>
      <c r="RES101" s="22"/>
      <c r="RET101" s="22"/>
      <c r="REU101" s="22"/>
      <c r="REV101" s="22"/>
      <c r="REW101" s="22"/>
      <c r="REX101" s="22"/>
      <c r="REY101" s="22"/>
      <c r="REZ101" s="22"/>
      <c r="RFA101" s="22"/>
      <c r="RFB101" s="22"/>
      <c r="RFC101" s="22"/>
      <c r="RFD101" s="22"/>
      <c r="RFE101" s="22"/>
      <c r="RFF101" s="22"/>
      <c r="RFG101" s="22"/>
      <c r="RFH101" s="22"/>
      <c r="RFI101" s="22"/>
      <c r="RFJ101" s="22"/>
      <c r="RFK101" s="22"/>
      <c r="RFL101" s="22"/>
      <c r="RFM101" s="22"/>
      <c r="RFN101" s="22"/>
      <c r="RFO101" s="22"/>
      <c r="RFP101" s="22"/>
      <c r="RFQ101" s="22"/>
      <c r="RFR101" s="22"/>
      <c r="RFS101" s="22"/>
      <c r="RFT101" s="22"/>
      <c r="RFU101" s="22"/>
      <c r="RFV101" s="22"/>
      <c r="RFW101" s="22"/>
      <c r="RFX101" s="22"/>
      <c r="RFY101" s="22"/>
      <c r="RFZ101" s="22"/>
      <c r="RGA101" s="22"/>
      <c r="RGB101" s="22"/>
      <c r="RGC101" s="22"/>
      <c r="RGD101" s="22"/>
      <c r="RGE101" s="22"/>
      <c r="RGF101" s="22"/>
      <c r="RGG101" s="22"/>
      <c r="RGH101" s="22"/>
      <c r="RGI101" s="22"/>
      <c r="RGJ101" s="22"/>
      <c r="RGK101" s="22"/>
      <c r="RGL101" s="22"/>
      <c r="RGM101" s="22"/>
      <c r="RGN101" s="22"/>
      <c r="RGO101" s="22"/>
      <c r="RGP101" s="22"/>
      <c r="RGQ101" s="22"/>
      <c r="RGR101" s="22"/>
      <c r="RGS101" s="22"/>
      <c r="RGT101" s="22"/>
      <c r="RGU101" s="22"/>
      <c r="RGV101" s="22"/>
      <c r="RGW101" s="22"/>
      <c r="RGX101" s="22"/>
      <c r="RGY101" s="22"/>
      <c r="RGZ101" s="22"/>
      <c r="RHA101" s="22"/>
      <c r="RHB101" s="22"/>
      <c r="RHC101" s="22"/>
      <c r="RHD101" s="22"/>
      <c r="RHE101" s="22"/>
      <c r="RHF101" s="22"/>
      <c r="RHG101" s="22"/>
      <c r="RHH101" s="22"/>
      <c r="RHI101" s="22"/>
      <c r="RHJ101" s="22"/>
      <c r="RHK101" s="22"/>
      <c r="RHL101" s="22"/>
      <c r="RHM101" s="22"/>
      <c r="RHN101" s="22"/>
      <c r="RHO101" s="22"/>
      <c r="RHP101" s="22"/>
      <c r="RHQ101" s="22"/>
      <c r="RHR101" s="22"/>
      <c r="RHS101" s="22"/>
      <c r="RHT101" s="22"/>
      <c r="RHU101" s="22"/>
      <c r="RHV101" s="22"/>
      <c r="RHW101" s="22"/>
      <c r="RHX101" s="22"/>
      <c r="RHY101" s="22"/>
      <c r="RHZ101" s="22"/>
      <c r="RIA101" s="22"/>
      <c r="RIB101" s="22"/>
      <c r="RIC101" s="22"/>
      <c r="RID101" s="22"/>
      <c r="RIE101" s="22"/>
      <c r="RIF101" s="22"/>
      <c r="RIG101" s="22"/>
      <c r="RIH101" s="22"/>
      <c r="RII101" s="22"/>
      <c r="RIJ101" s="22"/>
      <c r="RIK101" s="22"/>
      <c r="RIL101" s="22"/>
      <c r="RIM101" s="22"/>
      <c r="RIN101" s="22"/>
      <c r="RIO101" s="22"/>
      <c r="RIP101" s="22"/>
      <c r="RIQ101" s="22"/>
      <c r="RIR101" s="22"/>
      <c r="RIS101" s="22"/>
      <c r="RIT101" s="22"/>
      <c r="RIU101" s="22"/>
      <c r="RIV101" s="22"/>
      <c r="RIW101" s="22"/>
      <c r="RIX101" s="22"/>
      <c r="RIY101" s="22"/>
      <c r="RIZ101" s="22"/>
      <c r="RJA101" s="22"/>
      <c r="RJB101" s="22"/>
      <c r="RJC101" s="22"/>
      <c r="RJD101" s="22"/>
      <c r="RJE101" s="22"/>
      <c r="RJF101" s="22"/>
      <c r="RJG101" s="22"/>
      <c r="RJH101" s="22"/>
      <c r="RJI101" s="22"/>
      <c r="RJJ101" s="22"/>
      <c r="RJK101" s="22"/>
      <c r="RJL101" s="22"/>
      <c r="RJM101" s="22"/>
      <c r="RJN101" s="22"/>
      <c r="RJO101" s="22"/>
      <c r="RJP101" s="22"/>
      <c r="RJQ101" s="22"/>
      <c r="RJR101" s="22"/>
      <c r="RJS101" s="22"/>
      <c r="RJT101" s="22"/>
      <c r="RJU101" s="22"/>
      <c r="RJV101" s="22"/>
      <c r="RJW101" s="22"/>
      <c r="RJX101" s="22"/>
      <c r="RJY101" s="22"/>
      <c r="RJZ101" s="22"/>
      <c r="RKA101" s="22"/>
      <c r="RKB101" s="22"/>
      <c r="RKC101" s="22"/>
      <c r="RKD101" s="22"/>
      <c r="RKE101" s="22"/>
      <c r="RKF101" s="22"/>
      <c r="RKG101" s="22"/>
      <c r="RKH101" s="22"/>
      <c r="RKI101" s="22"/>
      <c r="RKJ101" s="22"/>
      <c r="RKK101" s="22"/>
      <c r="RKL101" s="22"/>
      <c r="RKM101" s="22"/>
      <c r="RKN101" s="22"/>
      <c r="RKO101" s="22"/>
      <c r="RKP101" s="22"/>
      <c r="RKQ101" s="22"/>
      <c r="RKR101" s="22"/>
      <c r="RKS101" s="22"/>
      <c r="RKT101" s="22"/>
      <c r="RKU101" s="22"/>
      <c r="RKV101" s="22"/>
      <c r="RKW101" s="22"/>
      <c r="RKX101" s="22"/>
      <c r="RKY101" s="22"/>
      <c r="RKZ101" s="22"/>
      <c r="RLA101" s="22"/>
      <c r="RLB101" s="22"/>
      <c r="RLC101" s="22"/>
      <c r="RLD101" s="22"/>
      <c r="RLE101" s="22"/>
      <c r="RLF101" s="22"/>
      <c r="RLG101" s="22"/>
      <c r="RLH101" s="22"/>
      <c r="RLI101" s="22"/>
      <c r="RLJ101" s="22"/>
      <c r="RLK101" s="22"/>
      <c r="RLL101" s="22"/>
      <c r="RLM101" s="22"/>
      <c r="RLN101" s="22"/>
      <c r="RLO101" s="22"/>
      <c r="RLP101" s="22"/>
      <c r="RLQ101" s="22"/>
      <c r="RLR101" s="22"/>
      <c r="RLS101" s="22"/>
      <c r="RLT101" s="22"/>
      <c r="RLU101" s="22"/>
      <c r="RLV101" s="22"/>
      <c r="RLW101" s="22"/>
      <c r="RLX101" s="22"/>
      <c r="RLY101" s="22"/>
      <c r="RLZ101" s="22"/>
      <c r="RMA101" s="22"/>
      <c r="RMB101" s="22"/>
      <c r="RMC101" s="22"/>
      <c r="RMD101" s="22"/>
      <c r="RME101" s="22"/>
      <c r="RMF101" s="22"/>
      <c r="RMG101" s="22"/>
      <c r="RMH101" s="22"/>
      <c r="RMI101" s="22"/>
      <c r="RMJ101" s="22"/>
      <c r="RMK101" s="22"/>
      <c r="RML101" s="22"/>
      <c r="RMM101" s="22"/>
      <c r="RMN101" s="22"/>
      <c r="RMO101" s="22"/>
      <c r="RMP101" s="22"/>
      <c r="RMQ101" s="22"/>
      <c r="RMR101" s="22"/>
      <c r="RMS101" s="22"/>
      <c r="RMT101" s="22"/>
      <c r="RMU101" s="22"/>
      <c r="RMV101" s="22"/>
      <c r="RMW101" s="22"/>
      <c r="RMX101" s="22"/>
      <c r="RMY101" s="22"/>
      <c r="RMZ101" s="22"/>
      <c r="RNA101" s="22"/>
      <c r="RNB101" s="22"/>
      <c r="RNC101" s="22"/>
      <c r="RND101" s="22"/>
      <c r="RNE101" s="22"/>
      <c r="RNF101" s="22"/>
      <c r="RNG101" s="22"/>
      <c r="RNH101" s="22"/>
      <c r="RNI101" s="22"/>
      <c r="RNJ101" s="22"/>
      <c r="RNK101" s="22"/>
      <c r="RNL101" s="22"/>
      <c r="RNM101" s="22"/>
      <c r="RNN101" s="22"/>
      <c r="RNO101" s="22"/>
      <c r="RNP101" s="22"/>
      <c r="RNQ101" s="22"/>
      <c r="RNR101" s="22"/>
      <c r="RNS101" s="22"/>
      <c r="RNT101" s="22"/>
      <c r="RNU101" s="22"/>
      <c r="RNV101" s="22"/>
      <c r="RNW101" s="22"/>
      <c r="RNX101" s="22"/>
      <c r="RNY101" s="22"/>
      <c r="RNZ101" s="22"/>
      <c r="ROA101" s="22"/>
      <c r="ROB101" s="22"/>
      <c r="ROC101" s="22"/>
      <c r="ROD101" s="22"/>
      <c r="ROE101" s="22"/>
      <c r="ROF101" s="22"/>
      <c r="ROG101" s="22"/>
      <c r="ROH101" s="22"/>
      <c r="ROI101" s="22"/>
      <c r="ROJ101" s="22"/>
      <c r="ROK101" s="22"/>
      <c r="ROL101" s="22"/>
      <c r="ROM101" s="22"/>
      <c r="RON101" s="22"/>
      <c r="ROO101" s="22"/>
      <c r="ROP101" s="22"/>
      <c r="ROQ101" s="22"/>
      <c r="ROR101" s="22"/>
      <c r="ROS101" s="22"/>
      <c r="ROT101" s="22"/>
      <c r="ROU101" s="22"/>
      <c r="ROV101" s="22"/>
      <c r="ROW101" s="22"/>
      <c r="ROX101" s="22"/>
      <c r="ROY101" s="22"/>
      <c r="ROZ101" s="22"/>
      <c r="RPA101" s="22"/>
      <c r="RPB101" s="22"/>
      <c r="RPC101" s="22"/>
      <c r="RPD101" s="22"/>
      <c r="RPE101" s="22"/>
      <c r="RPF101" s="22"/>
      <c r="RPG101" s="22"/>
      <c r="RPH101" s="22"/>
      <c r="RPI101" s="22"/>
      <c r="RPJ101" s="22"/>
      <c r="RPK101" s="22"/>
      <c r="RPL101" s="22"/>
      <c r="RPM101" s="22"/>
      <c r="RPN101" s="22"/>
      <c r="RPO101" s="22"/>
      <c r="RPP101" s="22"/>
      <c r="RPQ101" s="22"/>
      <c r="RPR101" s="22"/>
      <c r="RPS101" s="22"/>
      <c r="RPT101" s="22"/>
      <c r="RPU101" s="22"/>
      <c r="RPV101" s="22"/>
      <c r="RPW101" s="22"/>
      <c r="RPX101" s="22"/>
      <c r="RPY101" s="22"/>
      <c r="RPZ101" s="22"/>
      <c r="RQA101" s="22"/>
      <c r="RQB101" s="22"/>
      <c r="RQC101" s="22"/>
      <c r="RQD101" s="22"/>
      <c r="RQE101" s="22"/>
      <c r="RQF101" s="22"/>
      <c r="RQG101" s="22"/>
      <c r="RQH101" s="22"/>
      <c r="RQI101" s="22"/>
      <c r="RQJ101" s="22"/>
      <c r="RQK101" s="22"/>
      <c r="RQL101" s="22"/>
      <c r="RQM101" s="22"/>
      <c r="RQN101" s="22"/>
      <c r="RQO101" s="22"/>
      <c r="RQP101" s="22"/>
      <c r="RQQ101" s="22"/>
      <c r="RQR101" s="22"/>
      <c r="RQS101" s="22"/>
      <c r="RQT101" s="22"/>
      <c r="RQU101" s="22"/>
      <c r="RQV101" s="22"/>
      <c r="RQW101" s="22"/>
      <c r="RQX101" s="22"/>
      <c r="RQY101" s="22"/>
      <c r="RQZ101" s="22"/>
      <c r="RRA101" s="22"/>
      <c r="RRB101" s="22"/>
      <c r="RRC101" s="22"/>
      <c r="RRD101" s="22"/>
      <c r="RRE101" s="22"/>
      <c r="RRF101" s="22"/>
      <c r="RRG101" s="22"/>
      <c r="RRH101" s="22"/>
      <c r="RRI101" s="22"/>
      <c r="RRJ101" s="22"/>
      <c r="RRK101" s="22"/>
      <c r="RRL101" s="22"/>
      <c r="RRM101" s="22"/>
      <c r="RRN101" s="22"/>
      <c r="RRO101" s="22"/>
      <c r="RRP101" s="22"/>
      <c r="RRQ101" s="22"/>
      <c r="RRR101" s="22"/>
      <c r="RRS101" s="22"/>
      <c r="RRT101" s="22"/>
      <c r="RRU101" s="22"/>
      <c r="RRV101" s="22"/>
      <c r="RRW101" s="22"/>
      <c r="RRX101" s="22"/>
      <c r="RRY101" s="22"/>
      <c r="RRZ101" s="22"/>
      <c r="RSA101" s="22"/>
      <c r="RSB101" s="22"/>
      <c r="RSC101" s="22"/>
      <c r="RSD101" s="22"/>
      <c r="RSE101" s="22"/>
      <c r="RSF101" s="22"/>
      <c r="RSG101" s="22"/>
      <c r="RSH101" s="22"/>
      <c r="RSI101" s="22"/>
      <c r="RSJ101" s="22"/>
      <c r="RSK101" s="22"/>
      <c r="RSL101" s="22"/>
      <c r="RSM101" s="22"/>
      <c r="RSN101" s="22"/>
      <c r="RSO101" s="22"/>
      <c r="RSP101" s="22"/>
      <c r="RSQ101" s="22"/>
      <c r="RSR101" s="22"/>
      <c r="RSS101" s="22"/>
      <c r="RST101" s="22"/>
      <c r="RSU101" s="22"/>
      <c r="RSV101" s="22"/>
      <c r="RSW101" s="22"/>
      <c r="RSX101" s="22"/>
      <c r="RSY101" s="22"/>
      <c r="RSZ101" s="22"/>
      <c r="RTA101" s="22"/>
      <c r="RTB101" s="22"/>
      <c r="RTC101" s="22"/>
      <c r="RTD101" s="22"/>
      <c r="RTE101" s="22"/>
      <c r="RTF101" s="22"/>
      <c r="RTG101" s="22"/>
      <c r="RTH101" s="22"/>
      <c r="RTI101" s="22"/>
      <c r="RTJ101" s="22"/>
      <c r="RTK101" s="22"/>
      <c r="RTL101" s="22"/>
      <c r="RTM101" s="22"/>
      <c r="RTN101" s="22"/>
      <c r="RTO101" s="22"/>
      <c r="RTP101" s="22"/>
      <c r="RTQ101" s="22"/>
      <c r="RTR101" s="22"/>
      <c r="RTS101" s="22"/>
      <c r="RTT101" s="22"/>
      <c r="RTU101" s="22"/>
      <c r="RTV101" s="22"/>
      <c r="RTW101" s="22"/>
      <c r="RTX101" s="22"/>
      <c r="RTY101" s="22"/>
      <c r="RTZ101" s="22"/>
      <c r="RUA101" s="22"/>
      <c r="RUB101" s="22"/>
      <c r="RUC101" s="22"/>
      <c r="RUD101" s="22"/>
      <c r="RUE101" s="22"/>
      <c r="RUF101" s="22"/>
      <c r="RUG101" s="22"/>
      <c r="RUH101" s="22"/>
      <c r="RUI101" s="22"/>
      <c r="RUJ101" s="22"/>
      <c r="RUK101" s="22"/>
      <c r="RUL101" s="22"/>
      <c r="RUM101" s="22"/>
      <c r="RUN101" s="22"/>
      <c r="RUO101" s="22"/>
      <c r="RUP101" s="22"/>
      <c r="RUQ101" s="22"/>
      <c r="RUR101" s="22"/>
      <c r="RUS101" s="22"/>
      <c r="RUT101" s="22"/>
      <c r="RUU101" s="22"/>
      <c r="RUV101" s="22"/>
      <c r="RUW101" s="22"/>
      <c r="RUX101" s="22"/>
      <c r="RUY101" s="22"/>
      <c r="RUZ101" s="22"/>
      <c r="RVA101" s="22"/>
      <c r="RVB101" s="22"/>
      <c r="RVC101" s="22"/>
      <c r="RVD101" s="22"/>
      <c r="RVE101" s="22"/>
      <c r="RVF101" s="22"/>
      <c r="RVG101" s="22"/>
      <c r="RVH101" s="22"/>
      <c r="RVI101" s="22"/>
      <c r="RVJ101" s="22"/>
      <c r="RVK101" s="22"/>
      <c r="RVL101" s="22"/>
      <c r="RVM101" s="22"/>
      <c r="RVN101" s="22"/>
      <c r="RVO101" s="22"/>
      <c r="RVP101" s="22"/>
      <c r="RVQ101" s="22"/>
      <c r="RVR101" s="22"/>
      <c r="RVS101" s="22"/>
      <c r="RVT101" s="22"/>
      <c r="RVU101" s="22"/>
      <c r="RVV101" s="22"/>
      <c r="RVW101" s="22"/>
      <c r="RVX101" s="22"/>
      <c r="RVY101" s="22"/>
      <c r="RVZ101" s="22"/>
      <c r="RWA101" s="22"/>
      <c r="RWB101" s="22"/>
      <c r="RWC101" s="22"/>
      <c r="RWD101" s="22"/>
      <c r="RWE101" s="22"/>
      <c r="RWF101" s="22"/>
      <c r="RWG101" s="22"/>
      <c r="RWH101" s="22"/>
      <c r="RWI101" s="22"/>
      <c r="RWJ101" s="22"/>
      <c r="RWK101" s="22"/>
      <c r="RWL101" s="22"/>
      <c r="RWM101" s="22"/>
      <c r="RWN101" s="22"/>
      <c r="RWO101" s="22"/>
      <c r="RWP101" s="22"/>
      <c r="RWQ101" s="22"/>
      <c r="RWR101" s="22"/>
      <c r="RWS101" s="22"/>
      <c r="RWT101" s="22"/>
      <c r="RWU101" s="22"/>
      <c r="RWV101" s="22"/>
      <c r="RWW101" s="22"/>
      <c r="RWX101" s="22"/>
      <c r="RWY101" s="22"/>
      <c r="RWZ101" s="22"/>
      <c r="RXA101" s="22"/>
      <c r="RXB101" s="22"/>
      <c r="RXC101" s="22"/>
      <c r="RXD101" s="22"/>
      <c r="RXE101" s="22"/>
      <c r="RXF101" s="22"/>
      <c r="RXG101" s="22"/>
      <c r="RXH101" s="22"/>
      <c r="RXI101" s="22"/>
      <c r="RXJ101" s="22"/>
      <c r="RXK101" s="22"/>
      <c r="RXL101" s="22"/>
      <c r="RXM101" s="22"/>
      <c r="RXN101" s="22"/>
      <c r="RXO101" s="22"/>
      <c r="RXP101" s="22"/>
      <c r="RXQ101" s="22"/>
      <c r="RXR101" s="22"/>
      <c r="RXS101" s="22"/>
      <c r="RXT101" s="22"/>
      <c r="RXU101" s="22"/>
      <c r="RXV101" s="22"/>
      <c r="RXW101" s="22"/>
      <c r="RXX101" s="22"/>
      <c r="RXY101" s="22"/>
      <c r="RXZ101" s="22"/>
      <c r="RYA101" s="22"/>
      <c r="RYB101" s="22"/>
      <c r="RYC101" s="22"/>
      <c r="RYD101" s="22"/>
      <c r="RYE101" s="22"/>
      <c r="RYF101" s="22"/>
      <c r="RYG101" s="22"/>
      <c r="RYH101" s="22"/>
      <c r="RYI101" s="22"/>
      <c r="RYJ101" s="22"/>
      <c r="RYK101" s="22"/>
      <c r="RYL101" s="22"/>
      <c r="RYM101" s="22"/>
      <c r="RYN101" s="22"/>
      <c r="RYO101" s="22"/>
      <c r="RYP101" s="22"/>
      <c r="RYQ101" s="22"/>
      <c r="RYR101" s="22"/>
      <c r="RYS101" s="22"/>
      <c r="RYT101" s="22"/>
      <c r="RYU101" s="22"/>
      <c r="RYV101" s="22"/>
      <c r="RYW101" s="22"/>
      <c r="RYX101" s="22"/>
      <c r="RYY101" s="22"/>
      <c r="RYZ101" s="22"/>
      <c r="RZA101" s="22"/>
      <c r="RZB101" s="22"/>
      <c r="RZC101" s="22"/>
      <c r="RZD101" s="22"/>
      <c r="RZE101" s="22"/>
      <c r="RZF101" s="22"/>
      <c r="RZG101" s="22"/>
      <c r="RZH101" s="22"/>
      <c r="RZI101" s="22"/>
      <c r="RZJ101" s="22"/>
      <c r="RZK101" s="22"/>
      <c r="RZL101" s="22"/>
      <c r="RZM101" s="22"/>
      <c r="RZN101" s="22"/>
      <c r="RZO101" s="22"/>
      <c r="RZP101" s="22"/>
      <c r="RZQ101" s="22"/>
      <c r="RZR101" s="22"/>
      <c r="RZS101" s="22"/>
      <c r="RZT101" s="22"/>
      <c r="RZU101" s="22"/>
      <c r="RZV101" s="22"/>
      <c r="RZW101" s="22"/>
      <c r="RZX101" s="22"/>
      <c r="RZY101" s="22"/>
      <c r="RZZ101" s="22"/>
      <c r="SAA101" s="22"/>
      <c r="SAB101" s="22"/>
      <c r="SAC101" s="22"/>
      <c r="SAD101" s="22"/>
      <c r="SAE101" s="22"/>
      <c r="SAF101" s="22"/>
      <c r="SAG101" s="22"/>
      <c r="SAH101" s="22"/>
      <c r="SAI101" s="22"/>
      <c r="SAJ101" s="22"/>
      <c r="SAK101" s="22"/>
      <c r="SAL101" s="22"/>
      <c r="SAM101" s="22"/>
      <c r="SAN101" s="22"/>
      <c r="SAO101" s="22"/>
      <c r="SAP101" s="22"/>
      <c r="SAQ101" s="22"/>
      <c r="SAR101" s="22"/>
      <c r="SAS101" s="22"/>
      <c r="SAT101" s="22"/>
      <c r="SAU101" s="22"/>
      <c r="SAV101" s="22"/>
      <c r="SAW101" s="22"/>
      <c r="SAX101" s="22"/>
      <c r="SAY101" s="22"/>
      <c r="SAZ101" s="22"/>
      <c r="SBA101" s="22"/>
      <c r="SBB101" s="22"/>
      <c r="SBC101" s="22"/>
      <c r="SBD101" s="22"/>
      <c r="SBE101" s="22"/>
      <c r="SBF101" s="22"/>
      <c r="SBG101" s="22"/>
      <c r="SBH101" s="22"/>
      <c r="SBI101" s="22"/>
      <c r="SBJ101" s="22"/>
      <c r="SBK101" s="22"/>
      <c r="SBL101" s="22"/>
      <c r="SBM101" s="22"/>
      <c r="SBN101" s="22"/>
      <c r="SBO101" s="22"/>
      <c r="SBP101" s="22"/>
      <c r="SBQ101" s="22"/>
      <c r="SBR101" s="22"/>
      <c r="SBS101" s="22"/>
      <c r="SBT101" s="22"/>
      <c r="SBU101" s="22"/>
      <c r="SBV101" s="22"/>
      <c r="SBW101" s="22"/>
      <c r="SBX101" s="22"/>
      <c r="SBY101" s="22"/>
      <c r="SBZ101" s="22"/>
      <c r="SCA101" s="22"/>
      <c r="SCB101" s="22"/>
      <c r="SCC101" s="22"/>
      <c r="SCD101" s="22"/>
      <c r="SCE101" s="22"/>
      <c r="SCF101" s="22"/>
      <c r="SCG101" s="22"/>
      <c r="SCH101" s="22"/>
      <c r="SCI101" s="22"/>
      <c r="SCJ101" s="22"/>
      <c r="SCK101" s="22"/>
      <c r="SCL101" s="22"/>
      <c r="SCM101" s="22"/>
      <c r="SCN101" s="22"/>
      <c r="SCO101" s="22"/>
      <c r="SCP101" s="22"/>
      <c r="SCQ101" s="22"/>
      <c r="SCR101" s="22"/>
      <c r="SCS101" s="22"/>
      <c r="SCT101" s="22"/>
      <c r="SCU101" s="22"/>
      <c r="SCV101" s="22"/>
      <c r="SCW101" s="22"/>
      <c r="SCX101" s="22"/>
      <c r="SCY101" s="22"/>
      <c r="SCZ101" s="22"/>
      <c r="SDA101" s="22"/>
      <c r="SDB101" s="22"/>
      <c r="SDC101" s="22"/>
      <c r="SDD101" s="22"/>
      <c r="SDE101" s="22"/>
      <c r="SDF101" s="22"/>
      <c r="SDG101" s="22"/>
      <c r="SDH101" s="22"/>
      <c r="SDI101" s="22"/>
      <c r="SDJ101" s="22"/>
      <c r="SDK101" s="22"/>
      <c r="SDL101" s="22"/>
      <c r="SDM101" s="22"/>
      <c r="SDN101" s="22"/>
      <c r="SDO101" s="22"/>
      <c r="SDP101" s="22"/>
      <c r="SDQ101" s="22"/>
      <c r="SDR101" s="22"/>
      <c r="SDS101" s="22"/>
      <c r="SDT101" s="22"/>
      <c r="SDU101" s="22"/>
      <c r="SDV101" s="22"/>
      <c r="SDW101" s="22"/>
      <c r="SDX101" s="22"/>
      <c r="SDY101" s="22"/>
      <c r="SDZ101" s="22"/>
      <c r="SEA101" s="22"/>
      <c r="SEB101" s="22"/>
      <c r="SEC101" s="22"/>
      <c r="SED101" s="22"/>
      <c r="SEE101" s="22"/>
      <c r="SEF101" s="22"/>
      <c r="SEG101" s="22"/>
      <c r="SEH101" s="22"/>
      <c r="SEI101" s="22"/>
      <c r="SEJ101" s="22"/>
      <c r="SEK101" s="22"/>
      <c r="SEL101" s="22"/>
      <c r="SEM101" s="22"/>
      <c r="SEN101" s="22"/>
      <c r="SEO101" s="22"/>
      <c r="SEP101" s="22"/>
      <c r="SEQ101" s="22"/>
      <c r="SER101" s="22"/>
      <c r="SES101" s="22"/>
      <c r="SET101" s="22"/>
      <c r="SEU101" s="22"/>
      <c r="SEV101" s="22"/>
      <c r="SEW101" s="22"/>
      <c r="SEX101" s="22"/>
      <c r="SEY101" s="22"/>
      <c r="SEZ101" s="22"/>
      <c r="SFA101" s="22"/>
      <c r="SFB101" s="22"/>
      <c r="SFC101" s="22"/>
      <c r="SFD101" s="22"/>
      <c r="SFE101" s="22"/>
      <c r="SFF101" s="22"/>
      <c r="SFG101" s="22"/>
      <c r="SFH101" s="22"/>
      <c r="SFI101" s="22"/>
      <c r="SFJ101" s="22"/>
      <c r="SFK101" s="22"/>
      <c r="SFL101" s="22"/>
      <c r="SFM101" s="22"/>
      <c r="SFN101" s="22"/>
      <c r="SFO101" s="22"/>
      <c r="SFP101" s="22"/>
      <c r="SFQ101" s="22"/>
      <c r="SFR101" s="22"/>
      <c r="SFS101" s="22"/>
      <c r="SFT101" s="22"/>
      <c r="SFU101" s="22"/>
      <c r="SFV101" s="22"/>
      <c r="SFW101" s="22"/>
      <c r="SFX101" s="22"/>
      <c r="SFY101" s="22"/>
      <c r="SFZ101" s="22"/>
      <c r="SGA101" s="22"/>
      <c r="SGB101" s="22"/>
      <c r="SGC101" s="22"/>
      <c r="SGD101" s="22"/>
      <c r="SGE101" s="22"/>
      <c r="SGF101" s="22"/>
      <c r="SGG101" s="22"/>
      <c r="SGH101" s="22"/>
      <c r="SGI101" s="22"/>
      <c r="SGJ101" s="22"/>
      <c r="SGK101" s="22"/>
      <c r="SGL101" s="22"/>
      <c r="SGM101" s="22"/>
      <c r="SGN101" s="22"/>
      <c r="SGO101" s="22"/>
      <c r="SGP101" s="22"/>
      <c r="SGQ101" s="22"/>
      <c r="SGR101" s="22"/>
      <c r="SGS101" s="22"/>
      <c r="SGT101" s="22"/>
      <c r="SGU101" s="22"/>
      <c r="SGV101" s="22"/>
      <c r="SGW101" s="22"/>
      <c r="SGX101" s="22"/>
      <c r="SGY101" s="22"/>
      <c r="SGZ101" s="22"/>
      <c r="SHA101" s="22"/>
      <c r="SHB101" s="22"/>
      <c r="SHC101" s="22"/>
      <c r="SHD101" s="22"/>
      <c r="SHE101" s="22"/>
      <c r="SHF101" s="22"/>
      <c r="SHG101" s="22"/>
      <c r="SHH101" s="22"/>
      <c r="SHI101" s="22"/>
      <c r="SHJ101" s="22"/>
      <c r="SHK101" s="22"/>
      <c r="SHL101" s="22"/>
      <c r="SHM101" s="22"/>
      <c r="SHN101" s="22"/>
      <c r="SHO101" s="22"/>
      <c r="SHP101" s="22"/>
      <c r="SHQ101" s="22"/>
      <c r="SHR101" s="22"/>
      <c r="SHS101" s="22"/>
      <c r="SHT101" s="22"/>
      <c r="SHU101" s="22"/>
      <c r="SHV101" s="22"/>
      <c r="SHW101" s="22"/>
      <c r="SHX101" s="22"/>
      <c r="SHY101" s="22"/>
      <c r="SHZ101" s="22"/>
      <c r="SIA101" s="22"/>
      <c r="SIB101" s="22"/>
      <c r="SIC101" s="22"/>
      <c r="SID101" s="22"/>
      <c r="SIE101" s="22"/>
      <c r="SIF101" s="22"/>
      <c r="SIG101" s="22"/>
      <c r="SIH101" s="22"/>
      <c r="SII101" s="22"/>
      <c r="SIJ101" s="22"/>
      <c r="SIK101" s="22"/>
      <c r="SIL101" s="22"/>
      <c r="SIM101" s="22"/>
      <c r="SIN101" s="22"/>
      <c r="SIO101" s="22"/>
      <c r="SIP101" s="22"/>
      <c r="SIQ101" s="22"/>
      <c r="SIR101" s="22"/>
      <c r="SIS101" s="22"/>
      <c r="SIT101" s="22"/>
      <c r="SIU101" s="22"/>
      <c r="SIV101" s="22"/>
      <c r="SIW101" s="22"/>
      <c r="SIX101" s="22"/>
      <c r="SIY101" s="22"/>
      <c r="SIZ101" s="22"/>
      <c r="SJA101" s="22"/>
      <c r="SJB101" s="22"/>
      <c r="SJC101" s="22"/>
      <c r="SJD101" s="22"/>
      <c r="SJE101" s="22"/>
      <c r="SJF101" s="22"/>
      <c r="SJG101" s="22"/>
      <c r="SJH101" s="22"/>
      <c r="SJI101" s="22"/>
      <c r="SJJ101" s="22"/>
      <c r="SJK101" s="22"/>
      <c r="SJL101" s="22"/>
      <c r="SJM101" s="22"/>
      <c r="SJN101" s="22"/>
      <c r="SJO101" s="22"/>
      <c r="SJP101" s="22"/>
      <c r="SJQ101" s="22"/>
      <c r="SJR101" s="22"/>
      <c r="SJS101" s="22"/>
      <c r="SJT101" s="22"/>
      <c r="SJU101" s="22"/>
      <c r="SJV101" s="22"/>
      <c r="SJW101" s="22"/>
      <c r="SJX101" s="22"/>
      <c r="SJY101" s="22"/>
      <c r="SJZ101" s="22"/>
      <c r="SKA101" s="22"/>
      <c r="SKB101" s="22"/>
      <c r="SKC101" s="22"/>
      <c r="SKD101" s="22"/>
      <c r="SKE101" s="22"/>
      <c r="SKF101" s="22"/>
      <c r="SKG101" s="22"/>
      <c r="SKH101" s="22"/>
      <c r="SKI101" s="22"/>
      <c r="SKJ101" s="22"/>
      <c r="SKK101" s="22"/>
      <c r="SKL101" s="22"/>
      <c r="SKM101" s="22"/>
      <c r="SKN101" s="22"/>
      <c r="SKO101" s="22"/>
      <c r="SKP101" s="22"/>
      <c r="SKQ101" s="22"/>
      <c r="SKR101" s="22"/>
      <c r="SKS101" s="22"/>
      <c r="SKT101" s="22"/>
      <c r="SKU101" s="22"/>
      <c r="SKV101" s="22"/>
      <c r="SKW101" s="22"/>
      <c r="SKX101" s="22"/>
      <c r="SKY101" s="22"/>
      <c r="SKZ101" s="22"/>
      <c r="SLA101" s="22"/>
      <c r="SLB101" s="22"/>
      <c r="SLC101" s="22"/>
      <c r="SLD101" s="22"/>
      <c r="SLE101" s="22"/>
      <c r="SLF101" s="22"/>
      <c r="SLG101" s="22"/>
      <c r="SLH101" s="22"/>
      <c r="SLI101" s="22"/>
      <c r="SLJ101" s="22"/>
      <c r="SLK101" s="22"/>
      <c r="SLL101" s="22"/>
      <c r="SLM101" s="22"/>
      <c r="SLN101" s="22"/>
      <c r="SLO101" s="22"/>
      <c r="SLP101" s="22"/>
      <c r="SLQ101" s="22"/>
      <c r="SLR101" s="22"/>
      <c r="SLS101" s="22"/>
      <c r="SLT101" s="22"/>
      <c r="SLU101" s="22"/>
      <c r="SLV101" s="22"/>
      <c r="SLW101" s="22"/>
      <c r="SLX101" s="22"/>
      <c r="SLY101" s="22"/>
      <c r="SLZ101" s="22"/>
      <c r="SMA101" s="22"/>
      <c r="SMB101" s="22"/>
      <c r="SMC101" s="22"/>
      <c r="SMD101" s="22"/>
      <c r="SME101" s="22"/>
      <c r="SMF101" s="22"/>
      <c r="SMG101" s="22"/>
      <c r="SMH101" s="22"/>
      <c r="SMI101" s="22"/>
      <c r="SMJ101" s="22"/>
      <c r="SMK101" s="22"/>
      <c r="SML101" s="22"/>
      <c r="SMM101" s="22"/>
      <c r="SMN101" s="22"/>
      <c r="SMO101" s="22"/>
      <c r="SMP101" s="22"/>
      <c r="SMQ101" s="22"/>
      <c r="SMR101" s="22"/>
      <c r="SMS101" s="22"/>
      <c r="SMT101" s="22"/>
      <c r="SMU101" s="22"/>
      <c r="SMV101" s="22"/>
      <c r="SMW101" s="22"/>
      <c r="SMX101" s="22"/>
      <c r="SMY101" s="22"/>
      <c r="SMZ101" s="22"/>
      <c r="SNA101" s="22"/>
      <c r="SNB101" s="22"/>
      <c r="SNC101" s="22"/>
      <c r="SND101" s="22"/>
      <c r="SNE101" s="22"/>
      <c r="SNF101" s="22"/>
      <c r="SNG101" s="22"/>
      <c r="SNH101" s="22"/>
      <c r="SNI101" s="22"/>
      <c r="SNJ101" s="22"/>
      <c r="SNK101" s="22"/>
      <c r="SNL101" s="22"/>
      <c r="SNM101" s="22"/>
      <c r="SNN101" s="22"/>
      <c r="SNO101" s="22"/>
      <c r="SNP101" s="22"/>
      <c r="SNQ101" s="22"/>
      <c r="SNR101" s="22"/>
      <c r="SNS101" s="22"/>
      <c r="SNT101" s="22"/>
      <c r="SNU101" s="22"/>
      <c r="SNV101" s="22"/>
      <c r="SNW101" s="22"/>
      <c r="SNX101" s="22"/>
      <c r="SNY101" s="22"/>
      <c r="SNZ101" s="22"/>
      <c r="SOA101" s="22"/>
      <c r="SOB101" s="22"/>
      <c r="SOC101" s="22"/>
      <c r="SOD101" s="22"/>
      <c r="SOE101" s="22"/>
      <c r="SOF101" s="22"/>
      <c r="SOG101" s="22"/>
      <c r="SOH101" s="22"/>
      <c r="SOI101" s="22"/>
      <c r="SOJ101" s="22"/>
      <c r="SOK101" s="22"/>
      <c r="SOL101" s="22"/>
      <c r="SOM101" s="22"/>
      <c r="SON101" s="22"/>
      <c r="SOO101" s="22"/>
      <c r="SOP101" s="22"/>
      <c r="SOQ101" s="22"/>
      <c r="SOR101" s="22"/>
      <c r="SOS101" s="22"/>
      <c r="SOT101" s="22"/>
      <c r="SOU101" s="22"/>
      <c r="SOV101" s="22"/>
      <c r="SOW101" s="22"/>
      <c r="SOX101" s="22"/>
      <c r="SOY101" s="22"/>
      <c r="SOZ101" s="22"/>
      <c r="SPA101" s="22"/>
      <c r="SPB101" s="22"/>
      <c r="SPC101" s="22"/>
      <c r="SPD101" s="22"/>
      <c r="SPE101" s="22"/>
      <c r="SPF101" s="22"/>
      <c r="SPG101" s="22"/>
      <c r="SPH101" s="22"/>
      <c r="SPI101" s="22"/>
      <c r="SPJ101" s="22"/>
      <c r="SPK101" s="22"/>
      <c r="SPL101" s="22"/>
      <c r="SPM101" s="22"/>
      <c r="SPN101" s="22"/>
      <c r="SPO101" s="22"/>
      <c r="SPP101" s="22"/>
      <c r="SPQ101" s="22"/>
      <c r="SPR101" s="22"/>
      <c r="SPS101" s="22"/>
      <c r="SPT101" s="22"/>
      <c r="SPU101" s="22"/>
      <c r="SPV101" s="22"/>
      <c r="SPW101" s="22"/>
      <c r="SPX101" s="22"/>
      <c r="SPY101" s="22"/>
      <c r="SPZ101" s="22"/>
      <c r="SQA101" s="22"/>
      <c r="SQB101" s="22"/>
      <c r="SQC101" s="22"/>
      <c r="SQD101" s="22"/>
      <c r="SQE101" s="22"/>
      <c r="SQF101" s="22"/>
      <c r="SQG101" s="22"/>
      <c r="SQH101" s="22"/>
      <c r="SQI101" s="22"/>
      <c r="SQJ101" s="22"/>
      <c r="SQK101" s="22"/>
      <c r="SQL101" s="22"/>
      <c r="SQM101" s="22"/>
      <c r="SQN101" s="22"/>
      <c r="SQO101" s="22"/>
      <c r="SQP101" s="22"/>
      <c r="SQQ101" s="22"/>
      <c r="SQR101" s="22"/>
      <c r="SQS101" s="22"/>
      <c r="SQT101" s="22"/>
      <c r="SQU101" s="22"/>
      <c r="SQV101" s="22"/>
      <c r="SQW101" s="22"/>
      <c r="SQX101" s="22"/>
      <c r="SQY101" s="22"/>
      <c r="SQZ101" s="22"/>
      <c r="SRA101" s="22"/>
      <c r="SRB101" s="22"/>
      <c r="SRC101" s="22"/>
      <c r="SRD101" s="22"/>
      <c r="SRE101" s="22"/>
      <c r="SRF101" s="22"/>
      <c r="SRG101" s="22"/>
      <c r="SRH101" s="22"/>
      <c r="SRI101" s="22"/>
      <c r="SRJ101" s="22"/>
      <c r="SRK101" s="22"/>
      <c r="SRL101" s="22"/>
      <c r="SRM101" s="22"/>
      <c r="SRN101" s="22"/>
      <c r="SRO101" s="22"/>
      <c r="SRP101" s="22"/>
      <c r="SRQ101" s="22"/>
      <c r="SRR101" s="22"/>
      <c r="SRS101" s="22"/>
      <c r="SRT101" s="22"/>
      <c r="SRU101" s="22"/>
      <c r="SRV101" s="22"/>
      <c r="SRW101" s="22"/>
      <c r="SRX101" s="22"/>
      <c r="SRY101" s="22"/>
      <c r="SRZ101" s="22"/>
      <c r="SSA101" s="22"/>
      <c r="SSB101" s="22"/>
      <c r="SSC101" s="22"/>
      <c r="SSD101" s="22"/>
      <c r="SSE101" s="22"/>
      <c r="SSF101" s="22"/>
      <c r="SSG101" s="22"/>
      <c r="SSH101" s="22"/>
      <c r="SSI101" s="22"/>
      <c r="SSJ101" s="22"/>
      <c r="SSK101" s="22"/>
      <c r="SSL101" s="22"/>
      <c r="SSM101" s="22"/>
      <c r="SSN101" s="22"/>
      <c r="SSO101" s="22"/>
      <c r="SSP101" s="22"/>
      <c r="SSQ101" s="22"/>
      <c r="SSR101" s="22"/>
      <c r="SSS101" s="22"/>
      <c r="SST101" s="22"/>
      <c r="SSU101" s="22"/>
      <c r="SSV101" s="22"/>
      <c r="SSW101" s="22"/>
      <c r="SSX101" s="22"/>
      <c r="SSY101" s="22"/>
      <c r="SSZ101" s="22"/>
      <c r="STA101" s="22"/>
      <c r="STB101" s="22"/>
      <c r="STC101" s="22"/>
      <c r="STD101" s="22"/>
      <c r="STE101" s="22"/>
      <c r="STF101" s="22"/>
      <c r="STG101" s="22"/>
      <c r="STH101" s="22"/>
      <c r="STI101" s="22"/>
      <c r="STJ101" s="22"/>
      <c r="STK101" s="22"/>
      <c r="STL101" s="22"/>
      <c r="STM101" s="22"/>
      <c r="STN101" s="22"/>
      <c r="STO101" s="22"/>
      <c r="STP101" s="22"/>
      <c r="STQ101" s="22"/>
      <c r="STR101" s="22"/>
      <c r="STS101" s="22"/>
      <c r="STT101" s="22"/>
      <c r="STU101" s="22"/>
      <c r="STV101" s="22"/>
      <c r="STW101" s="22"/>
      <c r="STX101" s="22"/>
      <c r="STY101" s="22"/>
      <c r="STZ101" s="22"/>
      <c r="SUA101" s="22"/>
      <c r="SUB101" s="22"/>
      <c r="SUC101" s="22"/>
      <c r="SUD101" s="22"/>
      <c r="SUE101" s="22"/>
      <c r="SUF101" s="22"/>
      <c r="SUG101" s="22"/>
      <c r="SUH101" s="22"/>
      <c r="SUI101" s="22"/>
      <c r="SUJ101" s="22"/>
      <c r="SUK101" s="22"/>
      <c r="SUL101" s="22"/>
      <c r="SUM101" s="22"/>
      <c r="SUN101" s="22"/>
      <c r="SUO101" s="22"/>
      <c r="SUP101" s="22"/>
      <c r="SUQ101" s="22"/>
      <c r="SUR101" s="22"/>
      <c r="SUS101" s="22"/>
      <c r="SUT101" s="22"/>
      <c r="SUU101" s="22"/>
      <c r="SUV101" s="22"/>
      <c r="SUW101" s="22"/>
      <c r="SUX101" s="22"/>
      <c r="SUY101" s="22"/>
      <c r="SUZ101" s="22"/>
      <c r="SVA101" s="22"/>
      <c r="SVB101" s="22"/>
      <c r="SVC101" s="22"/>
      <c r="SVD101" s="22"/>
      <c r="SVE101" s="22"/>
      <c r="SVF101" s="22"/>
      <c r="SVG101" s="22"/>
      <c r="SVH101" s="22"/>
      <c r="SVI101" s="22"/>
      <c r="SVJ101" s="22"/>
      <c r="SVK101" s="22"/>
      <c r="SVL101" s="22"/>
      <c r="SVM101" s="22"/>
      <c r="SVN101" s="22"/>
      <c r="SVO101" s="22"/>
      <c r="SVP101" s="22"/>
      <c r="SVQ101" s="22"/>
      <c r="SVR101" s="22"/>
      <c r="SVS101" s="22"/>
      <c r="SVT101" s="22"/>
      <c r="SVU101" s="22"/>
      <c r="SVV101" s="22"/>
      <c r="SVW101" s="22"/>
      <c r="SVX101" s="22"/>
      <c r="SVY101" s="22"/>
      <c r="SVZ101" s="22"/>
      <c r="SWA101" s="22"/>
      <c r="SWB101" s="22"/>
      <c r="SWC101" s="22"/>
      <c r="SWD101" s="22"/>
      <c r="SWE101" s="22"/>
      <c r="SWF101" s="22"/>
      <c r="SWG101" s="22"/>
      <c r="SWH101" s="22"/>
      <c r="SWI101" s="22"/>
      <c r="SWJ101" s="22"/>
      <c r="SWK101" s="22"/>
      <c r="SWL101" s="22"/>
      <c r="SWM101" s="22"/>
      <c r="SWN101" s="22"/>
      <c r="SWO101" s="22"/>
      <c r="SWP101" s="22"/>
      <c r="SWQ101" s="22"/>
      <c r="SWR101" s="22"/>
      <c r="SWS101" s="22"/>
      <c r="SWT101" s="22"/>
      <c r="SWU101" s="22"/>
      <c r="SWV101" s="22"/>
      <c r="SWW101" s="22"/>
      <c r="SWX101" s="22"/>
      <c r="SWY101" s="22"/>
      <c r="SWZ101" s="22"/>
      <c r="SXA101" s="22"/>
      <c r="SXB101" s="22"/>
      <c r="SXC101" s="22"/>
      <c r="SXD101" s="22"/>
      <c r="SXE101" s="22"/>
      <c r="SXF101" s="22"/>
      <c r="SXG101" s="22"/>
      <c r="SXH101" s="22"/>
      <c r="SXI101" s="22"/>
      <c r="SXJ101" s="22"/>
      <c r="SXK101" s="22"/>
      <c r="SXL101" s="22"/>
      <c r="SXM101" s="22"/>
      <c r="SXN101" s="22"/>
      <c r="SXO101" s="22"/>
      <c r="SXP101" s="22"/>
      <c r="SXQ101" s="22"/>
      <c r="SXR101" s="22"/>
      <c r="SXS101" s="22"/>
      <c r="SXT101" s="22"/>
      <c r="SXU101" s="22"/>
      <c r="SXV101" s="22"/>
      <c r="SXW101" s="22"/>
      <c r="SXX101" s="22"/>
      <c r="SXY101" s="22"/>
      <c r="SXZ101" s="22"/>
      <c r="SYA101" s="22"/>
      <c r="SYB101" s="22"/>
      <c r="SYC101" s="22"/>
      <c r="SYD101" s="22"/>
      <c r="SYE101" s="22"/>
      <c r="SYF101" s="22"/>
      <c r="SYG101" s="22"/>
      <c r="SYH101" s="22"/>
      <c r="SYI101" s="22"/>
      <c r="SYJ101" s="22"/>
      <c r="SYK101" s="22"/>
      <c r="SYL101" s="22"/>
      <c r="SYM101" s="22"/>
      <c r="SYN101" s="22"/>
      <c r="SYO101" s="22"/>
      <c r="SYP101" s="22"/>
      <c r="SYQ101" s="22"/>
      <c r="SYR101" s="22"/>
      <c r="SYS101" s="22"/>
      <c r="SYT101" s="22"/>
      <c r="SYU101" s="22"/>
      <c r="SYV101" s="22"/>
      <c r="SYW101" s="22"/>
      <c r="SYX101" s="22"/>
      <c r="SYY101" s="22"/>
      <c r="SYZ101" s="22"/>
      <c r="SZA101" s="22"/>
      <c r="SZB101" s="22"/>
      <c r="SZC101" s="22"/>
      <c r="SZD101" s="22"/>
      <c r="SZE101" s="22"/>
      <c r="SZF101" s="22"/>
      <c r="SZG101" s="22"/>
      <c r="SZH101" s="22"/>
      <c r="SZI101" s="22"/>
      <c r="SZJ101" s="22"/>
      <c r="SZK101" s="22"/>
      <c r="SZL101" s="22"/>
      <c r="SZM101" s="22"/>
      <c r="SZN101" s="22"/>
      <c r="SZO101" s="22"/>
      <c r="SZP101" s="22"/>
      <c r="SZQ101" s="22"/>
      <c r="SZR101" s="22"/>
      <c r="SZS101" s="22"/>
      <c r="SZT101" s="22"/>
      <c r="SZU101" s="22"/>
      <c r="SZV101" s="22"/>
      <c r="SZW101" s="22"/>
      <c r="SZX101" s="22"/>
      <c r="SZY101" s="22"/>
      <c r="SZZ101" s="22"/>
      <c r="TAA101" s="22"/>
      <c r="TAB101" s="22"/>
      <c r="TAC101" s="22"/>
      <c r="TAD101" s="22"/>
      <c r="TAE101" s="22"/>
      <c r="TAF101" s="22"/>
      <c r="TAG101" s="22"/>
      <c r="TAH101" s="22"/>
      <c r="TAI101" s="22"/>
      <c r="TAJ101" s="22"/>
      <c r="TAK101" s="22"/>
      <c r="TAL101" s="22"/>
      <c r="TAM101" s="22"/>
      <c r="TAN101" s="22"/>
      <c r="TAO101" s="22"/>
      <c r="TAP101" s="22"/>
      <c r="TAQ101" s="22"/>
      <c r="TAR101" s="22"/>
      <c r="TAS101" s="22"/>
      <c r="TAT101" s="22"/>
      <c r="TAU101" s="22"/>
      <c r="TAV101" s="22"/>
      <c r="TAW101" s="22"/>
      <c r="TAX101" s="22"/>
      <c r="TAY101" s="22"/>
      <c r="TAZ101" s="22"/>
      <c r="TBA101" s="22"/>
      <c r="TBB101" s="22"/>
      <c r="TBC101" s="22"/>
      <c r="TBD101" s="22"/>
      <c r="TBE101" s="22"/>
      <c r="TBF101" s="22"/>
      <c r="TBG101" s="22"/>
      <c r="TBH101" s="22"/>
      <c r="TBI101" s="22"/>
      <c r="TBJ101" s="22"/>
      <c r="TBK101" s="22"/>
      <c r="TBL101" s="22"/>
      <c r="TBM101" s="22"/>
      <c r="TBN101" s="22"/>
      <c r="TBO101" s="22"/>
      <c r="TBP101" s="22"/>
      <c r="TBQ101" s="22"/>
      <c r="TBR101" s="22"/>
      <c r="TBS101" s="22"/>
      <c r="TBT101" s="22"/>
      <c r="TBU101" s="22"/>
      <c r="TBV101" s="22"/>
      <c r="TBW101" s="22"/>
      <c r="TBX101" s="22"/>
      <c r="TBY101" s="22"/>
      <c r="TBZ101" s="22"/>
      <c r="TCA101" s="22"/>
      <c r="TCB101" s="22"/>
      <c r="TCC101" s="22"/>
      <c r="TCD101" s="22"/>
      <c r="TCE101" s="22"/>
      <c r="TCF101" s="22"/>
      <c r="TCG101" s="22"/>
      <c r="TCH101" s="22"/>
      <c r="TCI101" s="22"/>
      <c r="TCJ101" s="22"/>
      <c r="TCK101" s="22"/>
      <c r="TCL101" s="22"/>
      <c r="TCM101" s="22"/>
      <c r="TCN101" s="22"/>
      <c r="TCO101" s="22"/>
      <c r="TCP101" s="22"/>
      <c r="TCQ101" s="22"/>
      <c r="TCR101" s="22"/>
      <c r="TCS101" s="22"/>
      <c r="TCT101" s="22"/>
      <c r="TCU101" s="22"/>
      <c r="TCV101" s="22"/>
      <c r="TCW101" s="22"/>
      <c r="TCX101" s="22"/>
      <c r="TCY101" s="22"/>
      <c r="TCZ101" s="22"/>
      <c r="TDA101" s="22"/>
      <c r="TDB101" s="22"/>
      <c r="TDC101" s="22"/>
      <c r="TDD101" s="22"/>
      <c r="TDE101" s="22"/>
      <c r="TDF101" s="22"/>
      <c r="TDG101" s="22"/>
      <c r="TDH101" s="22"/>
      <c r="TDI101" s="22"/>
      <c r="TDJ101" s="22"/>
      <c r="TDK101" s="22"/>
      <c r="TDL101" s="22"/>
      <c r="TDM101" s="22"/>
      <c r="TDN101" s="22"/>
      <c r="TDO101" s="22"/>
      <c r="TDP101" s="22"/>
      <c r="TDQ101" s="22"/>
      <c r="TDR101" s="22"/>
      <c r="TDS101" s="22"/>
      <c r="TDT101" s="22"/>
      <c r="TDU101" s="22"/>
      <c r="TDV101" s="22"/>
      <c r="TDW101" s="22"/>
      <c r="TDX101" s="22"/>
      <c r="TDY101" s="22"/>
      <c r="TDZ101" s="22"/>
      <c r="TEA101" s="22"/>
      <c r="TEB101" s="22"/>
      <c r="TEC101" s="22"/>
      <c r="TED101" s="22"/>
      <c r="TEE101" s="22"/>
      <c r="TEF101" s="22"/>
      <c r="TEG101" s="22"/>
      <c r="TEH101" s="22"/>
      <c r="TEI101" s="22"/>
      <c r="TEJ101" s="22"/>
      <c r="TEK101" s="22"/>
      <c r="TEL101" s="22"/>
      <c r="TEM101" s="22"/>
      <c r="TEN101" s="22"/>
      <c r="TEO101" s="22"/>
      <c r="TEP101" s="22"/>
      <c r="TEQ101" s="22"/>
      <c r="TER101" s="22"/>
      <c r="TES101" s="22"/>
      <c r="TET101" s="22"/>
      <c r="TEU101" s="22"/>
      <c r="TEV101" s="22"/>
      <c r="TEW101" s="22"/>
      <c r="TEX101" s="22"/>
      <c r="TEY101" s="22"/>
      <c r="TEZ101" s="22"/>
      <c r="TFA101" s="22"/>
      <c r="TFB101" s="22"/>
      <c r="TFC101" s="22"/>
      <c r="TFD101" s="22"/>
      <c r="TFE101" s="22"/>
      <c r="TFF101" s="22"/>
      <c r="TFG101" s="22"/>
      <c r="TFH101" s="22"/>
      <c r="TFI101" s="22"/>
      <c r="TFJ101" s="22"/>
      <c r="TFK101" s="22"/>
      <c r="TFL101" s="22"/>
      <c r="TFM101" s="22"/>
      <c r="TFN101" s="22"/>
      <c r="TFO101" s="22"/>
      <c r="TFP101" s="22"/>
      <c r="TFQ101" s="22"/>
      <c r="TFR101" s="22"/>
      <c r="TFS101" s="22"/>
      <c r="TFT101" s="22"/>
      <c r="TFU101" s="22"/>
      <c r="TFV101" s="22"/>
      <c r="TFW101" s="22"/>
      <c r="TFX101" s="22"/>
      <c r="TFY101" s="22"/>
      <c r="TFZ101" s="22"/>
      <c r="TGA101" s="22"/>
      <c r="TGB101" s="22"/>
      <c r="TGC101" s="22"/>
      <c r="TGD101" s="22"/>
      <c r="TGE101" s="22"/>
      <c r="TGF101" s="22"/>
      <c r="TGG101" s="22"/>
      <c r="TGH101" s="22"/>
      <c r="TGI101" s="22"/>
      <c r="TGJ101" s="22"/>
      <c r="TGK101" s="22"/>
      <c r="TGL101" s="22"/>
      <c r="TGM101" s="22"/>
      <c r="TGN101" s="22"/>
      <c r="TGO101" s="22"/>
      <c r="TGP101" s="22"/>
      <c r="TGQ101" s="22"/>
      <c r="TGR101" s="22"/>
      <c r="TGS101" s="22"/>
      <c r="TGT101" s="22"/>
      <c r="TGU101" s="22"/>
      <c r="TGV101" s="22"/>
      <c r="TGW101" s="22"/>
      <c r="TGX101" s="22"/>
      <c r="TGY101" s="22"/>
      <c r="TGZ101" s="22"/>
      <c r="THA101" s="22"/>
      <c r="THB101" s="22"/>
      <c r="THC101" s="22"/>
      <c r="THD101" s="22"/>
      <c r="THE101" s="22"/>
      <c r="THF101" s="22"/>
      <c r="THG101" s="22"/>
      <c r="THH101" s="22"/>
      <c r="THI101" s="22"/>
      <c r="THJ101" s="22"/>
      <c r="THK101" s="22"/>
      <c r="THL101" s="22"/>
      <c r="THM101" s="22"/>
      <c r="THN101" s="22"/>
      <c r="THO101" s="22"/>
      <c r="THP101" s="22"/>
      <c r="THQ101" s="22"/>
      <c r="THR101" s="22"/>
      <c r="THS101" s="22"/>
      <c r="THT101" s="22"/>
      <c r="THU101" s="22"/>
      <c r="THV101" s="22"/>
      <c r="THW101" s="22"/>
      <c r="THX101" s="22"/>
      <c r="THY101" s="22"/>
      <c r="THZ101" s="22"/>
      <c r="TIA101" s="22"/>
      <c r="TIB101" s="22"/>
      <c r="TIC101" s="22"/>
      <c r="TID101" s="22"/>
      <c r="TIE101" s="22"/>
      <c r="TIF101" s="22"/>
      <c r="TIG101" s="22"/>
      <c r="TIH101" s="22"/>
      <c r="TII101" s="22"/>
      <c r="TIJ101" s="22"/>
      <c r="TIK101" s="22"/>
      <c r="TIL101" s="22"/>
      <c r="TIM101" s="22"/>
      <c r="TIN101" s="22"/>
      <c r="TIO101" s="22"/>
      <c r="TIP101" s="22"/>
      <c r="TIQ101" s="22"/>
      <c r="TIR101" s="22"/>
      <c r="TIS101" s="22"/>
      <c r="TIT101" s="22"/>
      <c r="TIU101" s="22"/>
      <c r="TIV101" s="22"/>
      <c r="TIW101" s="22"/>
      <c r="TIX101" s="22"/>
      <c r="TIY101" s="22"/>
      <c r="TIZ101" s="22"/>
      <c r="TJA101" s="22"/>
      <c r="TJB101" s="22"/>
      <c r="TJC101" s="22"/>
      <c r="TJD101" s="22"/>
      <c r="TJE101" s="22"/>
      <c r="TJF101" s="22"/>
      <c r="TJG101" s="22"/>
      <c r="TJH101" s="22"/>
      <c r="TJI101" s="22"/>
      <c r="TJJ101" s="22"/>
      <c r="TJK101" s="22"/>
      <c r="TJL101" s="22"/>
      <c r="TJM101" s="22"/>
      <c r="TJN101" s="22"/>
      <c r="TJO101" s="22"/>
      <c r="TJP101" s="22"/>
      <c r="TJQ101" s="22"/>
      <c r="TJR101" s="22"/>
      <c r="TJS101" s="22"/>
      <c r="TJT101" s="22"/>
      <c r="TJU101" s="22"/>
      <c r="TJV101" s="22"/>
      <c r="TJW101" s="22"/>
      <c r="TJX101" s="22"/>
      <c r="TJY101" s="22"/>
      <c r="TJZ101" s="22"/>
      <c r="TKA101" s="22"/>
      <c r="TKB101" s="22"/>
      <c r="TKC101" s="22"/>
      <c r="TKD101" s="22"/>
      <c r="TKE101" s="22"/>
      <c r="TKF101" s="22"/>
      <c r="TKG101" s="22"/>
      <c r="TKH101" s="22"/>
      <c r="TKI101" s="22"/>
      <c r="TKJ101" s="22"/>
      <c r="TKK101" s="22"/>
      <c r="TKL101" s="22"/>
      <c r="TKM101" s="22"/>
      <c r="TKN101" s="22"/>
      <c r="TKO101" s="22"/>
      <c r="TKP101" s="22"/>
      <c r="TKQ101" s="22"/>
      <c r="TKR101" s="22"/>
      <c r="TKS101" s="22"/>
      <c r="TKT101" s="22"/>
      <c r="TKU101" s="22"/>
      <c r="TKV101" s="22"/>
      <c r="TKW101" s="22"/>
      <c r="TKX101" s="22"/>
      <c r="TKY101" s="22"/>
      <c r="TKZ101" s="22"/>
      <c r="TLA101" s="22"/>
      <c r="TLB101" s="22"/>
      <c r="TLC101" s="22"/>
      <c r="TLD101" s="22"/>
      <c r="TLE101" s="22"/>
      <c r="TLF101" s="22"/>
      <c r="TLG101" s="22"/>
      <c r="TLH101" s="22"/>
      <c r="TLI101" s="22"/>
      <c r="TLJ101" s="22"/>
      <c r="TLK101" s="22"/>
      <c r="TLL101" s="22"/>
      <c r="TLM101" s="22"/>
      <c r="TLN101" s="22"/>
      <c r="TLO101" s="22"/>
      <c r="TLP101" s="22"/>
      <c r="TLQ101" s="22"/>
      <c r="TLR101" s="22"/>
      <c r="TLS101" s="22"/>
      <c r="TLT101" s="22"/>
      <c r="TLU101" s="22"/>
      <c r="TLV101" s="22"/>
      <c r="TLW101" s="22"/>
      <c r="TLX101" s="22"/>
      <c r="TLY101" s="22"/>
      <c r="TLZ101" s="22"/>
      <c r="TMA101" s="22"/>
      <c r="TMB101" s="22"/>
      <c r="TMC101" s="22"/>
      <c r="TMD101" s="22"/>
      <c r="TME101" s="22"/>
      <c r="TMF101" s="22"/>
      <c r="TMG101" s="22"/>
      <c r="TMH101" s="22"/>
      <c r="TMI101" s="22"/>
      <c r="TMJ101" s="22"/>
      <c r="TMK101" s="22"/>
      <c r="TML101" s="22"/>
      <c r="TMM101" s="22"/>
      <c r="TMN101" s="22"/>
      <c r="TMO101" s="22"/>
      <c r="TMP101" s="22"/>
      <c r="TMQ101" s="22"/>
      <c r="TMR101" s="22"/>
      <c r="TMS101" s="22"/>
      <c r="TMT101" s="22"/>
      <c r="TMU101" s="22"/>
      <c r="TMV101" s="22"/>
      <c r="TMW101" s="22"/>
      <c r="TMX101" s="22"/>
      <c r="TMY101" s="22"/>
      <c r="TMZ101" s="22"/>
      <c r="TNA101" s="22"/>
      <c r="TNB101" s="22"/>
      <c r="TNC101" s="22"/>
      <c r="TND101" s="22"/>
      <c r="TNE101" s="22"/>
      <c r="TNF101" s="22"/>
      <c r="TNG101" s="22"/>
      <c r="TNH101" s="22"/>
      <c r="TNI101" s="22"/>
      <c r="TNJ101" s="22"/>
      <c r="TNK101" s="22"/>
      <c r="TNL101" s="22"/>
      <c r="TNM101" s="22"/>
      <c r="TNN101" s="22"/>
      <c r="TNO101" s="22"/>
      <c r="TNP101" s="22"/>
      <c r="TNQ101" s="22"/>
      <c r="TNR101" s="22"/>
      <c r="TNS101" s="22"/>
      <c r="TNT101" s="22"/>
      <c r="TNU101" s="22"/>
      <c r="TNV101" s="22"/>
      <c r="TNW101" s="22"/>
      <c r="TNX101" s="22"/>
      <c r="TNY101" s="22"/>
      <c r="TNZ101" s="22"/>
      <c r="TOA101" s="22"/>
      <c r="TOB101" s="22"/>
      <c r="TOC101" s="22"/>
      <c r="TOD101" s="22"/>
      <c r="TOE101" s="22"/>
      <c r="TOF101" s="22"/>
      <c r="TOG101" s="22"/>
      <c r="TOH101" s="22"/>
      <c r="TOI101" s="22"/>
      <c r="TOJ101" s="22"/>
      <c r="TOK101" s="22"/>
      <c r="TOL101" s="22"/>
      <c r="TOM101" s="22"/>
      <c r="TON101" s="22"/>
      <c r="TOO101" s="22"/>
      <c r="TOP101" s="22"/>
      <c r="TOQ101" s="22"/>
      <c r="TOR101" s="22"/>
      <c r="TOS101" s="22"/>
      <c r="TOT101" s="22"/>
      <c r="TOU101" s="22"/>
      <c r="TOV101" s="22"/>
      <c r="TOW101" s="22"/>
      <c r="TOX101" s="22"/>
      <c r="TOY101" s="22"/>
      <c r="TOZ101" s="22"/>
      <c r="TPA101" s="22"/>
      <c r="TPB101" s="22"/>
      <c r="TPC101" s="22"/>
      <c r="TPD101" s="22"/>
      <c r="TPE101" s="22"/>
      <c r="TPF101" s="22"/>
      <c r="TPG101" s="22"/>
      <c r="TPH101" s="22"/>
      <c r="TPI101" s="22"/>
      <c r="TPJ101" s="22"/>
      <c r="TPK101" s="22"/>
      <c r="TPL101" s="22"/>
      <c r="TPM101" s="22"/>
      <c r="TPN101" s="22"/>
      <c r="TPO101" s="22"/>
      <c r="TPP101" s="22"/>
      <c r="TPQ101" s="22"/>
      <c r="TPR101" s="22"/>
      <c r="TPS101" s="22"/>
      <c r="TPT101" s="22"/>
      <c r="TPU101" s="22"/>
      <c r="TPV101" s="22"/>
      <c r="TPW101" s="22"/>
      <c r="TPX101" s="22"/>
      <c r="TPY101" s="22"/>
      <c r="TPZ101" s="22"/>
      <c r="TQA101" s="22"/>
      <c r="TQB101" s="22"/>
      <c r="TQC101" s="22"/>
      <c r="TQD101" s="22"/>
      <c r="TQE101" s="22"/>
      <c r="TQF101" s="22"/>
      <c r="TQG101" s="22"/>
      <c r="TQH101" s="22"/>
      <c r="TQI101" s="22"/>
      <c r="TQJ101" s="22"/>
      <c r="TQK101" s="22"/>
      <c r="TQL101" s="22"/>
      <c r="TQM101" s="22"/>
      <c r="TQN101" s="22"/>
      <c r="TQO101" s="22"/>
      <c r="TQP101" s="22"/>
      <c r="TQQ101" s="22"/>
      <c r="TQR101" s="22"/>
      <c r="TQS101" s="22"/>
      <c r="TQT101" s="22"/>
      <c r="TQU101" s="22"/>
      <c r="TQV101" s="22"/>
      <c r="TQW101" s="22"/>
      <c r="TQX101" s="22"/>
      <c r="TQY101" s="22"/>
      <c r="TQZ101" s="22"/>
      <c r="TRA101" s="22"/>
      <c r="TRB101" s="22"/>
      <c r="TRC101" s="22"/>
      <c r="TRD101" s="22"/>
      <c r="TRE101" s="22"/>
      <c r="TRF101" s="22"/>
      <c r="TRG101" s="22"/>
      <c r="TRH101" s="22"/>
      <c r="TRI101" s="22"/>
      <c r="TRJ101" s="22"/>
      <c r="TRK101" s="22"/>
      <c r="TRL101" s="22"/>
      <c r="TRM101" s="22"/>
      <c r="TRN101" s="22"/>
      <c r="TRO101" s="22"/>
      <c r="TRP101" s="22"/>
      <c r="TRQ101" s="22"/>
      <c r="TRR101" s="22"/>
      <c r="TRS101" s="22"/>
      <c r="TRT101" s="22"/>
      <c r="TRU101" s="22"/>
      <c r="TRV101" s="22"/>
      <c r="TRW101" s="22"/>
      <c r="TRX101" s="22"/>
      <c r="TRY101" s="22"/>
      <c r="TRZ101" s="22"/>
      <c r="TSA101" s="22"/>
      <c r="TSB101" s="22"/>
      <c r="TSC101" s="22"/>
      <c r="TSD101" s="22"/>
      <c r="TSE101" s="22"/>
      <c r="TSF101" s="22"/>
      <c r="TSG101" s="22"/>
      <c r="TSH101" s="22"/>
      <c r="TSI101" s="22"/>
      <c r="TSJ101" s="22"/>
      <c r="TSK101" s="22"/>
      <c r="TSL101" s="22"/>
      <c r="TSM101" s="22"/>
      <c r="TSN101" s="22"/>
      <c r="TSO101" s="22"/>
      <c r="TSP101" s="22"/>
      <c r="TSQ101" s="22"/>
      <c r="TSR101" s="22"/>
      <c r="TSS101" s="22"/>
      <c r="TST101" s="22"/>
      <c r="TSU101" s="22"/>
      <c r="TSV101" s="22"/>
      <c r="TSW101" s="22"/>
      <c r="TSX101" s="22"/>
      <c r="TSY101" s="22"/>
      <c r="TSZ101" s="22"/>
      <c r="TTA101" s="22"/>
      <c r="TTB101" s="22"/>
      <c r="TTC101" s="22"/>
      <c r="TTD101" s="22"/>
      <c r="TTE101" s="22"/>
      <c r="TTF101" s="22"/>
      <c r="TTG101" s="22"/>
      <c r="TTH101" s="22"/>
      <c r="TTI101" s="22"/>
      <c r="TTJ101" s="22"/>
      <c r="TTK101" s="22"/>
      <c r="TTL101" s="22"/>
      <c r="TTM101" s="22"/>
      <c r="TTN101" s="22"/>
      <c r="TTO101" s="22"/>
      <c r="TTP101" s="22"/>
      <c r="TTQ101" s="22"/>
      <c r="TTR101" s="22"/>
      <c r="TTS101" s="22"/>
      <c r="TTT101" s="22"/>
      <c r="TTU101" s="22"/>
      <c r="TTV101" s="22"/>
      <c r="TTW101" s="22"/>
      <c r="TTX101" s="22"/>
      <c r="TTY101" s="22"/>
      <c r="TTZ101" s="22"/>
      <c r="TUA101" s="22"/>
      <c r="TUB101" s="22"/>
      <c r="TUC101" s="22"/>
      <c r="TUD101" s="22"/>
      <c r="TUE101" s="22"/>
      <c r="TUF101" s="22"/>
      <c r="TUG101" s="22"/>
      <c r="TUH101" s="22"/>
      <c r="TUI101" s="22"/>
      <c r="TUJ101" s="22"/>
      <c r="TUK101" s="22"/>
      <c r="TUL101" s="22"/>
      <c r="TUM101" s="22"/>
      <c r="TUN101" s="22"/>
      <c r="TUO101" s="22"/>
      <c r="TUP101" s="22"/>
      <c r="TUQ101" s="22"/>
      <c r="TUR101" s="22"/>
      <c r="TUS101" s="22"/>
      <c r="TUT101" s="22"/>
      <c r="TUU101" s="22"/>
      <c r="TUV101" s="22"/>
      <c r="TUW101" s="22"/>
      <c r="TUX101" s="22"/>
      <c r="TUY101" s="22"/>
      <c r="TUZ101" s="22"/>
      <c r="TVA101" s="22"/>
      <c r="TVB101" s="22"/>
      <c r="TVC101" s="22"/>
      <c r="TVD101" s="22"/>
      <c r="TVE101" s="22"/>
      <c r="TVF101" s="22"/>
      <c r="TVG101" s="22"/>
      <c r="TVH101" s="22"/>
      <c r="TVI101" s="22"/>
      <c r="TVJ101" s="22"/>
      <c r="TVK101" s="22"/>
      <c r="TVL101" s="22"/>
      <c r="TVM101" s="22"/>
      <c r="TVN101" s="22"/>
      <c r="TVO101" s="22"/>
      <c r="TVP101" s="22"/>
      <c r="TVQ101" s="22"/>
      <c r="TVR101" s="22"/>
      <c r="TVS101" s="22"/>
      <c r="TVT101" s="22"/>
      <c r="TVU101" s="22"/>
      <c r="TVV101" s="22"/>
      <c r="TVW101" s="22"/>
      <c r="TVX101" s="22"/>
      <c r="TVY101" s="22"/>
      <c r="TVZ101" s="22"/>
      <c r="TWA101" s="22"/>
      <c r="TWB101" s="22"/>
      <c r="TWC101" s="22"/>
      <c r="TWD101" s="22"/>
      <c r="TWE101" s="22"/>
      <c r="TWF101" s="22"/>
      <c r="TWG101" s="22"/>
      <c r="TWH101" s="22"/>
      <c r="TWI101" s="22"/>
      <c r="TWJ101" s="22"/>
      <c r="TWK101" s="22"/>
      <c r="TWL101" s="22"/>
      <c r="TWM101" s="22"/>
      <c r="TWN101" s="22"/>
      <c r="TWO101" s="22"/>
      <c r="TWP101" s="22"/>
      <c r="TWQ101" s="22"/>
      <c r="TWR101" s="22"/>
      <c r="TWS101" s="22"/>
      <c r="TWT101" s="22"/>
      <c r="TWU101" s="22"/>
      <c r="TWV101" s="22"/>
      <c r="TWW101" s="22"/>
      <c r="TWX101" s="22"/>
      <c r="TWY101" s="22"/>
      <c r="TWZ101" s="22"/>
      <c r="TXA101" s="22"/>
      <c r="TXB101" s="22"/>
      <c r="TXC101" s="22"/>
      <c r="TXD101" s="22"/>
      <c r="TXE101" s="22"/>
      <c r="TXF101" s="22"/>
      <c r="TXG101" s="22"/>
      <c r="TXH101" s="22"/>
      <c r="TXI101" s="22"/>
      <c r="TXJ101" s="22"/>
      <c r="TXK101" s="22"/>
      <c r="TXL101" s="22"/>
      <c r="TXM101" s="22"/>
      <c r="TXN101" s="22"/>
      <c r="TXO101" s="22"/>
      <c r="TXP101" s="22"/>
      <c r="TXQ101" s="22"/>
      <c r="TXR101" s="22"/>
      <c r="TXS101" s="22"/>
      <c r="TXT101" s="22"/>
      <c r="TXU101" s="22"/>
      <c r="TXV101" s="22"/>
      <c r="TXW101" s="22"/>
      <c r="TXX101" s="22"/>
      <c r="TXY101" s="22"/>
      <c r="TXZ101" s="22"/>
      <c r="TYA101" s="22"/>
      <c r="TYB101" s="22"/>
      <c r="TYC101" s="22"/>
      <c r="TYD101" s="22"/>
      <c r="TYE101" s="22"/>
      <c r="TYF101" s="22"/>
      <c r="TYG101" s="22"/>
      <c r="TYH101" s="22"/>
      <c r="TYI101" s="22"/>
      <c r="TYJ101" s="22"/>
      <c r="TYK101" s="22"/>
      <c r="TYL101" s="22"/>
      <c r="TYM101" s="22"/>
      <c r="TYN101" s="22"/>
      <c r="TYO101" s="22"/>
      <c r="TYP101" s="22"/>
      <c r="TYQ101" s="22"/>
      <c r="TYR101" s="22"/>
      <c r="TYS101" s="22"/>
      <c r="TYT101" s="22"/>
      <c r="TYU101" s="22"/>
      <c r="TYV101" s="22"/>
      <c r="TYW101" s="22"/>
      <c r="TYX101" s="22"/>
      <c r="TYY101" s="22"/>
      <c r="TYZ101" s="22"/>
      <c r="TZA101" s="22"/>
      <c r="TZB101" s="22"/>
      <c r="TZC101" s="22"/>
      <c r="TZD101" s="22"/>
      <c r="TZE101" s="22"/>
      <c r="TZF101" s="22"/>
      <c r="TZG101" s="22"/>
      <c r="TZH101" s="22"/>
      <c r="TZI101" s="22"/>
      <c r="TZJ101" s="22"/>
      <c r="TZK101" s="22"/>
      <c r="TZL101" s="22"/>
      <c r="TZM101" s="22"/>
      <c r="TZN101" s="22"/>
      <c r="TZO101" s="22"/>
      <c r="TZP101" s="22"/>
      <c r="TZQ101" s="22"/>
      <c r="TZR101" s="22"/>
      <c r="TZS101" s="22"/>
      <c r="TZT101" s="22"/>
      <c r="TZU101" s="22"/>
      <c r="TZV101" s="22"/>
      <c r="TZW101" s="22"/>
      <c r="TZX101" s="22"/>
      <c r="TZY101" s="22"/>
      <c r="TZZ101" s="22"/>
      <c r="UAA101" s="22"/>
      <c r="UAB101" s="22"/>
      <c r="UAC101" s="22"/>
      <c r="UAD101" s="22"/>
      <c r="UAE101" s="22"/>
      <c r="UAF101" s="22"/>
      <c r="UAG101" s="22"/>
      <c r="UAH101" s="22"/>
      <c r="UAI101" s="22"/>
      <c r="UAJ101" s="22"/>
      <c r="UAK101" s="22"/>
      <c r="UAL101" s="22"/>
      <c r="UAM101" s="22"/>
      <c r="UAN101" s="22"/>
      <c r="UAO101" s="22"/>
      <c r="UAP101" s="22"/>
      <c r="UAQ101" s="22"/>
      <c r="UAR101" s="22"/>
      <c r="UAS101" s="22"/>
      <c r="UAT101" s="22"/>
      <c r="UAU101" s="22"/>
      <c r="UAV101" s="22"/>
      <c r="UAW101" s="22"/>
      <c r="UAX101" s="22"/>
      <c r="UAY101" s="22"/>
      <c r="UAZ101" s="22"/>
      <c r="UBA101" s="22"/>
      <c r="UBB101" s="22"/>
      <c r="UBC101" s="22"/>
      <c r="UBD101" s="22"/>
      <c r="UBE101" s="22"/>
      <c r="UBF101" s="22"/>
      <c r="UBG101" s="22"/>
      <c r="UBH101" s="22"/>
      <c r="UBI101" s="22"/>
      <c r="UBJ101" s="22"/>
      <c r="UBK101" s="22"/>
      <c r="UBL101" s="22"/>
      <c r="UBM101" s="22"/>
      <c r="UBN101" s="22"/>
      <c r="UBO101" s="22"/>
      <c r="UBP101" s="22"/>
      <c r="UBQ101" s="22"/>
      <c r="UBR101" s="22"/>
      <c r="UBS101" s="22"/>
      <c r="UBT101" s="22"/>
      <c r="UBU101" s="22"/>
      <c r="UBV101" s="22"/>
      <c r="UBW101" s="22"/>
      <c r="UBX101" s="22"/>
      <c r="UBY101" s="22"/>
      <c r="UBZ101" s="22"/>
      <c r="UCA101" s="22"/>
      <c r="UCB101" s="22"/>
      <c r="UCC101" s="22"/>
      <c r="UCD101" s="22"/>
      <c r="UCE101" s="22"/>
      <c r="UCF101" s="22"/>
      <c r="UCG101" s="22"/>
      <c r="UCH101" s="22"/>
      <c r="UCI101" s="22"/>
      <c r="UCJ101" s="22"/>
      <c r="UCK101" s="22"/>
      <c r="UCL101" s="22"/>
      <c r="UCM101" s="22"/>
      <c r="UCN101" s="22"/>
      <c r="UCO101" s="22"/>
      <c r="UCP101" s="22"/>
      <c r="UCQ101" s="22"/>
      <c r="UCR101" s="22"/>
      <c r="UCS101" s="22"/>
      <c r="UCT101" s="22"/>
      <c r="UCU101" s="22"/>
      <c r="UCV101" s="22"/>
      <c r="UCW101" s="22"/>
      <c r="UCX101" s="22"/>
      <c r="UCY101" s="22"/>
      <c r="UCZ101" s="22"/>
      <c r="UDA101" s="22"/>
      <c r="UDB101" s="22"/>
      <c r="UDC101" s="22"/>
      <c r="UDD101" s="22"/>
      <c r="UDE101" s="22"/>
      <c r="UDF101" s="22"/>
      <c r="UDG101" s="22"/>
      <c r="UDH101" s="22"/>
      <c r="UDI101" s="22"/>
      <c r="UDJ101" s="22"/>
      <c r="UDK101" s="22"/>
      <c r="UDL101" s="22"/>
      <c r="UDM101" s="22"/>
      <c r="UDN101" s="22"/>
      <c r="UDO101" s="22"/>
      <c r="UDP101" s="22"/>
      <c r="UDQ101" s="22"/>
      <c r="UDR101" s="22"/>
      <c r="UDS101" s="22"/>
      <c r="UDT101" s="22"/>
      <c r="UDU101" s="22"/>
      <c r="UDV101" s="22"/>
      <c r="UDW101" s="22"/>
      <c r="UDX101" s="22"/>
      <c r="UDY101" s="22"/>
      <c r="UDZ101" s="22"/>
      <c r="UEA101" s="22"/>
      <c r="UEB101" s="22"/>
      <c r="UEC101" s="22"/>
      <c r="UED101" s="22"/>
      <c r="UEE101" s="22"/>
      <c r="UEF101" s="22"/>
      <c r="UEG101" s="22"/>
      <c r="UEH101" s="22"/>
      <c r="UEI101" s="22"/>
      <c r="UEJ101" s="22"/>
      <c r="UEK101" s="22"/>
      <c r="UEL101" s="22"/>
      <c r="UEM101" s="22"/>
      <c r="UEN101" s="22"/>
      <c r="UEO101" s="22"/>
      <c r="UEP101" s="22"/>
      <c r="UEQ101" s="22"/>
      <c r="UER101" s="22"/>
      <c r="UES101" s="22"/>
      <c r="UET101" s="22"/>
      <c r="UEU101" s="22"/>
      <c r="UEV101" s="22"/>
      <c r="UEW101" s="22"/>
      <c r="UEX101" s="22"/>
      <c r="UEY101" s="22"/>
      <c r="UEZ101" s="22"/>
      <c r="UFA101" s="22"/>
      <c r="UFB101" s="22"/>
      <c r="UFC101" s="22"/>
      <c r="UFD101" s="22"/>
      <c r="UFE101" s="22"/>
      <c r="UFF101" s="22"/>
      <c r="UFG101" s="22"/>
      <c r="UFH101" s="22"/>
      <c r="UFI101" s="22"/>
      <c r="UFJ101" s="22"/>
      <c r="UFK101" s="22"/>
      <c r="UFL101" s="22"/>
      <c r="UFM101" s="22"/>
      <c r="UFN101" s="22"/>
      <c r="UFO101" s="22"/>
      <c r="UFP101" s="22"/>
      <c r="UFQ101" s="22"/>
      <c r="UFR101" s="22"/>
      <c r="UFS101" s="22"/>
      <c r="UFT101" s="22"/>
      <c r="UFU101" s="22"/>
      <c r="UFV101" s="22"/>
      <c r="UFW101" s="22"/>
      <c r="UFX101" s="22"/>
      <c r="UFY101" s="22"/>
      <c r="UFZ101" s="22"/>
      <c r="UGA101" s="22"/>
      <c r="UGB101" s="22"/>
      <c r="UGC101" s="22"/>
      <c r="UGD101" s="22"/>
      <c r="UGE101" s="22"/>
      <c r="UGF101" s="22"/>
      <c r="UGG101" s="22"/>
      <c r="UGH101" s="22"/>
      <c r="UGI101" s="22"/>
      <c r="UGJ101" s="22"/>
      <c r="UGK101" s="22"/>
      <c r="UGL101" s="22"/>
      <c r="UGM101" s="22"/>
      <c r="UGN101" s="22"/>
      <c r="UGO101" s="22"/>
      <c r="UGP101" s="22"/>
      <c r="UGQ101" s="22"/>
      <c r="UGR101" s="22"/>
      <c r="UGS101" s="22"/>
      <c r="UGT101" s="22"/>
      <c r="UGU101" s="22"/>
      <c r="UGV101" s="22"/>
      <c r="UGW101" s="22"/>
      <c r="UGX101" s="22"/>
      <c r="UGY101" s="22"/>
      <c r="UGZ101" s="22"/>
      <c r="UHA101" s="22"/>
      <c r="UHB101" s="22"/>
      <c r="UHC101" s="22"/>
      <c r="UHD101" s="22"/>
      <c r="UHE101" s="22"/>
      <c r="UHF101" s="22"/>
      <c r="UHG101" s="22"/>
      <c r="UHH101" s="22"/>
      <c r="UHI101" s="22"/>
      <c r="UHJ101" s="22"/>
      <c r="UHK101" s="22"/>
      <c r="UHL101" s="22"/>
      <c r="UHM101" s="22"/>
      <c r="UHN101" s="22"/>
      <c r="UHO101" s="22"/>
      <c r="UHP101" s="22"/>
      <c r="UHQ101" s="22"/>
      <c r="UHR101" s="22"/>
      <c r="UHS101" s="22"/>
      <c r="UHT101" s="22"/>
      <c r="UHU101" s="22"/>
      <c r="UHV101" s="22"/>
      <c r="UHW101" s="22"/>
      <c r="UHX101" s="22"/>
      <c r="UHY101" s="22"/>
      <c r="UHZ101" s="22"/>
      <c r="UIA101" s="22"/>
      <c r="UIB101" s="22"/>
      <c r="UIC101" s="22"/>
      <c r="UID101" s="22"/>
      <c r="UIE101" s="22"/>
      <c r="UIF101" s="22"/>
      <c r="UIG101" s="22"/>
      <c r="UIH101" s="22"/>
      <c r="UII101" s="22"/>
      <c r="UIJ101" s="22"/>
      <c r="UIK101" s="22"/>
      <c r="UIL101" s="22"/>
      <c r="UIM101" s="22"/>
      <c r="UIN101" s="22"/>
      <c r="UIO101" s="22"/>
      <c r="UIP101" s="22"/>
      <c r="UIQ101" s="22"/>
      <c r="UIR101" s="22"/>
      <c r="UIS101" s="22"/>
      <c r="UIT101" s="22"/>
      <c r="UIU101" s="22"/>
      <c r="UIV101" s="22"/>
      <c r="UIW101" s="22"/>
      <c r="UIX101" s="22"/>
      <c r="UIY101" s="22"/>
      <c r="UIZ101" s="22"/>
      <c r="UJA101" s="22"/>
      <c r="UJB101" s="22"/>
      <c r="UJC101" s="22"/>
      <c r="UJD101" s="22"/>
      <c r="UJE101" s="22"/>
      <c r="UJF101" s="22"/>
      <c r="UJG101" s="22"/>
      <c r="UJH101" s="22"/>
      <c r="UJI101" s="22"/>
      <c r="UJJ101" s="22"/>
      <c r="UJK101" s="22"/>
      <c r="UJL101" s="22"/>
      <c r="UJM101" s="22"/>
      <c r="UJN101" s="22"/>
      <c r="UJO101" s="22"/>
      <c r="UJP101" s="22"/>
      <c r="UJQ101" s="22"/>
      <c r="UJR101" s="22"/>
      <c r="UJS101" s="22"/>
      <c r="UJT101" s="22"/>
      <c r="UJU101" s="22"/>
      <c r="UJV101" s="22"/>
      <c r="UJW101" s="22"/>
      <c r="UJX101" s="22"/>
      <c r="UJY101" s="22"/>
      <c r="UJZ101" s="22"/>
      <c r="UKA101" s="22"/>
      <c r="UKB101" s="22"/>
      <c r="UKC101" s="22"/>
      <c r="UKD101" s="22"/>
      <c r="UKE101" s="22"/>
      <c r="UKF101" s="22"/>
      <c r="UKG101" s="22"/>
      <c r="UKH101" s="22"/>
      <c r="UKI101" s="22"/>
      <c r="UKJ101" s="22"/>
      <c r="UKK101" s="22"/>
      <c r="UKL101" s="22"/>
      <c r="UKM101" s="22"/>
      <c r="UKN101" s="22"/>
      <c r="UKO101" s="22"/>
      <c r="UKP101" s="22"/>
      <c r="UKQ101" s="22"/>
      <c r="UKR101" s="22"/>
      <c r="UKS101" s="22"/>
      <c r="UKT101" s="22"/>
      <c r="UKU101" s="22"/>
      <c r="UKV101" s="22"/>
      <c r="UKW101" s="22"/>
      <c r="UKX101" s="22"/>
      <c r="UKY101" s="22"/>
      <c r="UKZ101" s="22"/>
      <c r="ULA101" s="22"/>
      <c r="ULB101" s="22"/>
      <c r="ULC101" s="22"/>
      <c r="ULD101" s="22"/>
      <c r="ULE101" s="22"/>
      <c r="ULF101" s="22"/>
      <c r="ULG101" s="22"/>
      <c r="ULH101" s="22"/>
      <c r="ULI101" s="22"/>
      <c r="ULJ101" s="22"/>
      <c r="ULK101" s="22"/>
      <c r="ULL101" s="22"/>
      <c r="ULM101" s="22"/>
      <c r="ULN101" s="22"/>
      <c r="ULO101" s="22"/>
      <c r="ULP101" s="22"/>
      <c r="ULQ101" s="22"/>
      <c r="ULR101" s="22"/>
      <c r="ULS101" s="22"/>
      <c r="ULT101" s="22"/>
      <c r="ULU101" s="22"/>
      <c r="ULV101" s="22"/>
      <c r="ULW101" s="22"/>
      <c r="ULX101" s="22"/>
      <c r="ULY101" s="22"/>
      <c r="ULZ101" s="22"/>
      <c r="UMA101" s="22"/>
      <c r="UMB101" s="22"/>
      <c r="UMC101" s="22"/>
      <c r="UMD101" s="22"/>
      <c r="UME101" s="22"/>
      <c r="UMF101" s="22"/>
      <c r="UMG101" s="22"/>
      <c r="UMH101" s="22"/>
      <c r="UMI101" s="22"/>
      <c r="UMJ101" s="22"/>
      <c r="UMK101" s="22"/>
      <c r="UML101" s="22"/>
      <c r="UMM101" s="22"/>
      <c r="UMN101" s="22"/>
      <c r="UMO101" s="22"/>
      <c r="UMP101" s="22"/>
      <c r="UMQ101" s="22"/>
      <c r="UMR101" s="22"/>
      <c r="UMS101" s="22"/>
      <c r="UMT101" s="22"/>
      <c r="UMU101" s="22"/>
      <c r="UMV101" s="22"/>
      <c r="UMW101" s="22"/>
      <c r="UMX101" s="22"/>
      <c r="UMY101" s="22"/>
      <c r="UMZ101" s="22"/>
      <c r="UNA101" s="22"/>
      <c r="UNB101" s="22"/>
      <c r="UNC101" s="22"/>
      <c r="UND101" s="22"/>
      <c r="UNE101" s="22"/>
      <c r="UNF101" s="22"/>
      <c r="UNG101" s="22"/>
      <c r="UNH101" s="22"/>
      <c r="UNI101" s="22"/>
      <c r="UNJ101" s="22"/>
      <c r="UNK101" s="22"/>
      <c r="UNL101" s="22"/>
      <c r="UNM101" s="22"/>
      <c r="UNN101" s="22"/>
      <c r="UNO101" s="22"/>
      <c r="UNP101" s="22"/>
      <c r="UNQ101" s="22"/>
      <c r="UNR101" s="22"/>
      <c r="UNS101" s="22"/>
      <c r="UNT101" s="22"/>
      <c r="UNU101" s="22"/>
      <c r="UNV101" s="22"/>
      <c r="UNW101" s="22"/>
      <c r="UNX101" s="22"/>
      <c r="UNY101" s="22"/>
      <c r="UNZ101" s="22"/>
      <c r="UOA101" s="22"/>
      <c r="UOB101" s="22"/>
      <c r="UOC101" s="22"/>
      <c r="UOD101" s="22"/>
      <c r="UOE101" s="22"/>
      <c r="UOF101" s="22"/>
      <c r="UOG101" s="22"/>
      <c r="UOH101" s="22"/>
      <c r="UOI101" s="22"/>
      <c r="UOJ101" s="22"/>
      <c r="UOK101" s="22"/>
      <c r="UOL101" s="22"/>
      <c r="UOM101" s="22"/>
      <c r="UON101" s="22"/>
      <c r="UOO101" s="22"/>
      <c r="UOP101" s="22"/>
      <c r="UOQ101" s="22"/>
      <c r="UOR101" s="22"/>
      <c r="UOS101" s="22"/>
      <c r="UOT101" s="22"/>
      <c r="UOU101" s="22"/>
      <c r="UOV101" s="22"/>
      <c r="UOW101" s="22"/>
      <c r="UOX101" s="22"/>
      <c r="UOY101" s="22"/>
      <c r="UOZ101" s="22"/>
      <c r="UPA101" s="22"/>
      <c r="UPB101" s="22"/>
      <c r="UPC101" s="22"/>
      <c r="UPD101" s="22"/>
      <c r="UPE101" s="22"/>
      <c r="UPF101" s="22"/>
      <c r="UPG101" s="22"/>
      <c r="UPH101" s="22"/>
      <c r="UPI101" s="22"/>
      <c r="UPJ101" s="22"/>
      <c r="UPK101" s="22"/>
      <c r="UPL101" s="22"/>
      <c r="UPM101" s="22"/>
      <c r="UPN101" s="22"/>
      <c r="UPO101" s="22"/>
      <c r="UPP101" s="22"/>
      <c r="UPQ101" s="22"/>
      <c r="UPR101" s="22"/>
      <c r="UPS101" s="22"/>
      <c r="UPT101" s="22"/>
      <c r="UPU101" s="22"/>
      <c r="UPV101" s="22"/>
      <c r="UPW101" s="22"/>
      <c r="UPX101" s="22"/>
      <c r="UPY101" s="22"/>
      <c r="UPZ101" s="22"/>
      <c r="UQA101" s="22"/>
      <c r="UQB101" s="22"/>
      <c r="UQC101" s="22"/>
      <c r="UQD101" s="22"/>
      <c r="UQE101" s="22"/>
      <c r="UQF101" s="22"/>
      <c r="UQG101" s="22"/>
      <c r="UQH101" s="22"/>
      <c r="UQI101" s="22"/>
      <c r="UQJ101" s="22"/>
      <c r="UQK101" s="22"/>
      <c r="UQL101" s="22"/>
      <c r="UQM101" s="22"/>
      <c r="UQN101" s="22"/>
      <c r="UQO101" s="22"/>
      <c r="UQP101" s="22"/>
      <c r="UQQ101" s="22"/>
      <c r="UQR101" s="22"/>
      <c r="UQS101" s="22"/>
      <c r="UQT101" s="22"/>
      <c r="UQU101" s="22"/>
      <c r="UQV101" s="22"/>
      <c r="UQW101" s="22"/>
      <c r="UQX101" s="22"/>
      <c r="UQY101" s="22"/>
      <c r="UQZ101" s="22"/>
      <c r="URA101" s="22"/>
      <c r="URB101" s="22"/>
      <c r="URC101" s="22"/>
      <c r="URD101" s="22"/>
      <c r="URE101" s="22"/>
      <c r="URF101" s="22"/>
      <c r="URG101" s="22"/>
      <c r="URH101" s="22"/>
      <c r="URI101" s="22"/>
      <c r="URJ101" s="22"/>
      <c r="URK101" s="22"/>
      <c r="URL101" s="22"/>
      <c r="URM101" s="22"/>
      <c r="URN101" s="22"/>
      <c r="URO101" s="22"/>
      <c r="URP101" s="22"/>
      <c r="URQ101" s="22"/>
      <c r="URR101" s="22"/>
      <c r="URS101" s="22"/>
      <c r="URT101" s="22"/>
      <c r="URU101" s="22"/>
      <c r="URV101" s="22"/>
      <c r="URW101" s="22"/>
      <c r="URX101" s="22"/>
      <c r="URY101" s="22"/>
      <c r="URZ101" s="22"/>
      <c r="USA101" s="22"/>
      <c r="USB101" s="22"/>
      <c r="USC101" s="22"/>
      <c r="USD101" s="22"/>
      <c r="USE101" s="22"/>
      <c r="USF101" s="22"/>
      <c r="USG101" s="22"/>
      <c r="USH101" s="22"/>
      <c r="USI101" s="22"/>
      <c r="USJ101" s="22"/>
      <c r="USK101" s="22"/>
      <c r="USL101" s="22"/>
      <c r="USM101" s="22"/>
      <c r="USN101" s="22"/>
      <c r="USO101" s="22"/>
      <c r="USP101" s="22"/>
      <c r="USQ101" s="22"/>
      <c r="USR101" s="22"/>
      <c r="USS101" s="22"/>
      <c r="UST101" s="22"/>
      <c r="USU101" s="22"/>
      <c r="USV101" s="22"/>
      <c r="USW101" s="22"/>
      <c r="USX101" s="22"/>
      <c r="USY101" s="22"/>
      <c r="USZ101" s="22"/>
      <c r="UTA101" s="22"/>
      <c r="UTB101" s="22"/>
      <c r="UTC101" s="22"/>
      <c r="UTD101" s="22"/>
      <c r="UTE101" s="22"/>
      <c r="UTF101" s="22"/>
      <c r="UTG101" s="22"/>
      <c r="UTH101" s="22"/>
      <c r="UTI101" s="22"/>
      <c r="UTJ101" s="22"/>
      <c r="UTK101" s="22"/>
      <c r="UTL101" s="22"/>
      <c r="UTM101" s="22"/>
      <c r="UTN101" s="22"/>
      <c r="UTO101" s="22"/>
      <c r="UTP101" s="22"/>
      <c r="UTQ101" s="22"/>
      <c r="UTR101" s="22"/>
      <c r="UTS101" s="22"/>
      <c r="UTT101" s="22"/>
      <c r="UTU101" s="22"/>
      <c r="UTV101" s="22"/>
      <c r="UTW101" s="22"/>
      <c r="UTX101" s="22"/>
      <c r="UTY101" s="22"/>
      <c r="UTZ101" s="22"/>
      <c r="UUA101" s="22"/>
      <c r="UUB101" s="22"/>
      <c r="UUC101" s="22"/>
      <c r="UUD101" s="22"/>
      <c r="UUE101" s="22"/>
      <c r="UUF101" s="22"/>
      <c r="UUG101" s="22"/>
      <c r="UUH101" s="22"/>
      <c r="UUI101" s="22"/>
      <c r="UUJ101" s="22"/>
      <c r="UUK101" s="22"/>
      <c r="UUL101" s="22"/>
      <c r="UUM101" s="22"/>
      <c r="UUN101" s="22"/>
      <c r="UUO101" s="22"/>
      <c r="UUP101" s="22"/>
      <c r="UUQ101" s="22"/>
      <c r="UUR101" s="22"/>
      <c r="UUS101" s="22"/>
      <c r="UUT101" s="22"/>
      <c r="UUU101" s="22"/>
      <c r="UUV101" s="22"/>
      <c r="UUW101" s="22"/>
      <c r="UUX101" s="22"/>
      <c r="UUY101" s="22"/>
      <c r="UUZ101" s="22"/>
      <c r="UVA101" s="22"/>
      <c r="UVB101" s="22"/>
      <c r="UVC101" s="22"/>
      <c r="UVD101" s="22"/>
      <c r="UVE101" s="22"/>
      <c r="UVF101" s="22"/>
      <c r="UVG101" s="22"/>
      <c r="UVH101" s="22"/>
      <c r="UVI101" s="22"/>
      <c r="UVJ101" s="22"/>
      <c r="UVK101" s="22"/>
      <c r="UVL101" s="22"/>
      <c r="UVM101" s="22"/>
      <c r="UVN101" s="22"/>
      <c r="UVO101" s="22"/>
      <c r="UVP101" s="22"/>
      <c r="UVQ101" s="22"/>
      <c r="UVR101" s="22"/>
      <c r="UVS101" s="22"/>
      <c r="UVT101" s="22"/>
      <c r="UVU101" s="22"/>
      <c r="UVV101" s="22"/>
      <c r="UVW101" s="22"/>
      <c r="UVX101" s="22"/>
      <c r="UVY101" s="22"/>
      <c r="UVZ101" s="22"/>
      <c r="UWA101" s="22"/>
      <c r="UWB101" s="22"/>
      <c r="UWC101" s="22"/>
      <c r="UWD101" s="22"/>
      <c r="UWE101" s="22"/>
      <c r="UWF101" s="22"/>
      <c r="UWG101" s="22"/>
      <c r="UWH101" s="22"/>
      <c r="UWI101" s="22"/>
      <c r="UWJ101" s="22"/>
      <c r="UWK101" s="22"/>
      <c r="UWL101" s="22"/>
      <c r="UWM101" s="22"/>
      <c r="UWN101" s="22"/>
      <c r="UWO101" s="22"/>
      <c r="UWP101" s="22"/>
      <c r="UWQ101" s="22"/>
      <c r="UWR101" s="22"/>
      <c r="UWS101" s="22"/>
      <c r="UWT101" s="22"/>
      <c r="UWU101" s="22"/>
      <c r="UWV101" s="22"/>
      <c r="UWW101" s="22"/>
      <c r="UWX101" s="22"/>
      <c r="UWY101" s="22"/>
      <c r="UWZ101" s="22"/>
      <c r="UXA101" s="22"/>
      <c r="UXB101" s="22"/>
      <c r="UXC101" s="22"/>
      <c r="UXD101" s="22"/>
      <c r="UXE101" s="22"/>
      <c r="UXF101" s="22"/>
      <c r="UXG101" s="22"/>
      <c r="UXH101" s="22"/>
      <c r="UXI101" s="22"/>
      <c r="UXJ101" s="22"/>
      <c r="UXK101" s="22"/>
      <c r="UXL101" s="22"/>
      <c r="UXM101" s="22"/>
      <c r="UXN101" s="22"/>
      <c r="UXO101" s="22"/>
      <c r="UXP101" s="22"/>
      <c r="UXQ101" s="22"/>
      <c r="UXR101" s="22"/>
      <c r="UXS101" s="22"/>
      <c r="UXT101" s="22"/>
      <c r="UXU101" s="22"/>
      <c r="UXV101" s="22"/>
      <c r="UXW101" s="22"/>
      <c r="UXX101" s="22"/>
      <c r="UXY101" s="22"/>
      <c r="UXZ101" s="22"/>
      <c r="UYA101" s="22"/>
      <c r="UYB101" s="22"/>
      <c r="UYC101" s="22"/>
      <c r="UYD101" s="22"/>
      <c r="UYE101" s="22"/>
      <c r="UYF101" s="22"/>
      <c r="UYG101" s="22"/>
      <c r="UYH101" s="22"/>
      <c r="UYI101" s="22"/>
      <c r="UYJ101" s="22"/>
      <c r="UYK101" s="22"/>
      <c r="UYL101" s="22"/>
      <c r="UYM101" s="22"/>
      <c r="UYN101" s="22"/>
      <c r="UYO101" s="22"/>
      <c r="UYP101" s="22"/>
      <c r="UYQ101" s="22"/>
      <c r="UYR101" s="22"/>
      <c r="UYS101" s="22"/>
      <c r="UYT101" s="22"/>
      <c r="UYU101" s="22"/>
      <c r="UYV101" s="22"/>
      <c r="UYW101" s="22"/>
      <c r="UYX101" s="22"/>
      <c r="UYY101" s="22"/>
      <c r="UYZ101" s="22"/>
      <c r="UZA101" s="22"/>
      <c r="UZB101" s="22"/>
      <c r="UZC101" s="22"/>
      <c r="UZD101" s="22"/>
      <c r="UZE101" s="22"/>
      <c r="UZF101" s="22"/>
      <c r="UZG101" s="22"/>
      <c r="UZH101" s="22"/>
      <c r="UZI101" s="22"/>
      <c r="UZJ101" s="22"/>
      <c r="UZK101" s="22"/>
      <c r="UZL101" s="22"/>
      <c r="UZM101" s="22"/>
      <c r="UZN101" s="22"/>
      <c r="UZO101" s="22"/>
      <c r="UZP101" s="22"/>
      <c r="UZQ101" s="22"/>
      <c r="UZR101" s="22"/>
      <c r="UZS101" s="22"/>
      <c r="UZT101" s="22"/>
      <c r="UZU101" s="22"/>
      <c r="UZV101" s="22"/>
      <c r="UZW101" s="22"/>
      <c r="UZX101" s="22"/>
      <c r="UZY101" s="22"/>
      <c r="UZZ101" s="22"/>
      <c r="VAA101" s="22"/>
      <c r="VAB101" s="22"/>
      <c r="VAC101" s="22"/>
      <c r="VAD101" s="22"/>
      <c r="VAE101" s="22"/>
      <c r="VAF101" s="22"/>
      <c r="VAG101" s="22"/>
      <c r="VAH101" s="22"/>
      <c r="VAI101" s="22"/>
      <c r="VAJ101" s="22"/>
      <c r="VAK101" s="22"/>
      <c r="VAL101" s="22"/>
      <c r="VAM101" s="22"/>
      <c r="VAN101" s="22"/>
      <c r="VAO101" s="22"/>
      <c r="VAP101" s="22"/>
      <c r="VAQ101" s="22"/>
      <c r="VAR101" s="22"/>
      <c r="VAS101" s="22"/>
      <c r="VAT101" s="22"/>
      <c r="VAU101" s="22"/>
      <c r="VAV101" s="22"/>
      <c r="VAW101" s="22"/>
      <c r="VAX101" s="22"/>
      <c r="VAY101" s="22"/>
      <c r="VAZ101" s="22"/>
      <c r="VBA101" s="22"/>
      <c r="VBB101" s="22"/>
      <c r="VBC101" s="22"/>
      <c r="VBD101" s="22"/>
      <c r="VBE101" s="22"/>
      <c r="VBF101" s="22"/>
      <c r="VBG101" s="22"/>
      <c r="VBH101" s="22"/>
      <c r="VBI101" s="22"/>
      <c r="VBJ101" s="22"/>
      <c r="VBK101" s="22"/>
      <c r="VBL101" s="22"/>
      <c r="VBM101" s="22"/>
      <c r="VBN101" s="22"/>
      <c r="VBO101" s="22"/>
      <c r="VBP101" s="22"/>
      <c r="VBQ101" s="22"/>
      <c r="VBR101" s="22"/>
      <c r="VBS101" s="22"/>
      <c r="VBT101" s="22"/>
      <c r="VBU101" s="22"/>
      <c r="VBV101" s="22"/>
      <c r="VBW101" s="22"/>
      <c r="VBX101" s="22"/>
      <c r="VBY101" s="22"/>
      <c r="VBZ101" s="22"/>
      <c r="VCA101" s="22"/>
      <c r="VCB101" s="22"/>
      <c r="VCC101" s="22"/>
      <c r="VCD101" s="22"/>
      <c r="VCE101" s="22"/>
      <c r="VCF101" s="22"/>
      <c r="VCG101" s="22"/>
      <c r="VCH101" s="22"/>
      <c r="VCI101" s="22"/>
      <c r="VCJ101" s="22"/>
      <c r="VCK101" s="22"/>
      <c r="VCL101" s="22"/>
      <c r="VCM101" s="22"/>
      <c r="VCN101" s="22"/>
      <c r="VCO101" s="22"/>
      <c r="VCP101" s="22"/>
      <c r="VCQ101" s="22"/>
      <c r="VCR101" s="22"/>
      <c r="VCS101" s="22"/>
      <c r="VCT101" s="22"/>
      <c r="VCU101" s="22"/>
      <c r="VCV101" s="22"/>
      <c r="VCW101" s="22"/>
      <c r="VCX101" s="22"/>
      <c r="VCY101" s="22"/>
      <c r="VCZ101" s="22"/>
      <c r="VDA101" s="22"/>
      <c r="VDB101" s="22"/>
      <c r="VDC101" s="22"/>
      <c r="VDD101" s="22"/>
      <c r="VDE101" s="22"/>
      <c r="VDF101" s="22"/>
      <c r="VDG101" s="22"/>
      <c r="VDH101" s="22"/>
      <c r="VDI101" s="22"/>
      <c r="VDJ101" s="22"/>
      <c r="VDK101" s="22"/>
      <c r="VDL101" s="22"/>
      <c r="VDM101" s="22"/>
      <c r="VDN101" s="22"/>
      <c r="VDO101" s="22"/>
      <c r="VDP101" s="22"/>
      <c r="VDQ101" s="22"/>
      <c r="VDR101" s="22"/>
      <c r="VDS101" s="22"/>
      <c r="VDT101" s="22"/>
      <c r="VDU101" s="22"/>
      <c r="VDV101" s="22"/>
      <c r="VDW101" s="22"/>
      <c r="VDX101" s="22"/>
      <c r="VDY101" s="22"/>
      <c r="VDZ101" s="22"/>
      <c r="VEA101" s="22"/>
      <c r="VEB101" s="22"/>
      <c r="VEC101" s="22"/>
      <c r="VED101" s="22"/>
      <c r="VEE101" s="22"/>
      <c r="VEF101" s="22"/>
      <c r="VEG101" s="22"/>
      <c r="VEH101" s="22"/>
      <c r="VEI101" s="22"/>
      <c r="VEJ101" s="22"/>
      <c r="VEK101" s="22"/>
      <c r="VEL101" s="22"/>
      <c r="VEM101" s="22"/>
      <c r="VEN101" s="22"/>
      <c r="VEO101" s="22"/>
      <c r="VEP101" s="22"/>
      <c r="VEQ101" s="22"/>
      <c r="VER101" s="22"/>
      <c r="VES101" s="22"/>
      <c r="VET101" s="22"/>
      <c r="VEU101" s="22"/>
      <c r="VEV101" s="22"/>
      <c r="VEW101" s="22"/>
      <c r="VEX101" s="22"/>
      <c r="VEY101" s="22"/>
      <c r="VEZ101" s="22"/>
      <c r="VFA101" s="22"/>
      <c r="VFB101" s="22"/>
      <c r="VFC101" s="22"/>
      <c r="VFD101" s="22"/>
      <c r="VFE101" s="22"/>
      <c r="VFF101" s="22"/>
      <c r="VFG101" s="22"/>
      <c r="VFH101" s="22"/>
      <c r="VFI101" s="22"/>
      <c r="VFJ101" s="22"/>
      <c r="VFK101" s="22"/>
      <c r="VFL101" s="22"/>
      <c r="VFM101" s="22"/>
      <c r="VFN101" s="22"/>
      <c r="VFO101" s="22"/>
      <c r="VFP101" s="22"/>
      <c r="VFQ101" s="22"/>
      <c r="VFR101" s="22"/>
      <c r="VFS101" s="22"/>
      <c r="VFT101" s="22"/>
      <c r="VFU101" s="22"/>
      <c r="VFV101" s="22"/>
      <c r="VFW101" s="22"/>
      <c r="VFX101" s="22"/>
      <c r="VFY101" s="22"/>
      <c r="VFZ101" s="22"/>
      <c r="VGA101" s="22"/>
      <c r="VGB101" s="22"/>
      <c r="VGC101" s="22"/>
      <c r="VGD101" s="22"/>
      <c r="VGE101" s="22"/>
      <c r="VGF101" s="22"/>
      <c r="VGG101" s="22"/>
      <c r="VGH101" s="22"/>
      <c r="VGI101" s="22"/>
      <c r="VGJ101" s="22"/>
      <c r="VGK101" s="22"/>
      <c r="VGL101" s="22"/>
      <c r="VGM101" s="22"/>
      <c r="VGN101" s="22"/>
      <c r="VGO101" s="22"/>
      <c r="VGP101" s="22"/>
      <c r="VGQ101" s="22"/>
      <c r="VGR101" s="22"/>
      <c r="VGS101" s="22"/>
      <c r="VGT101" s="22"/>
      <c r="VGU101" s="22"/>
      <c r="VGV101" s="22"/>
      <c r="VGW101" s="22"/>
      <c r="VGX101" s="22"/>
      <c r="VGY101" s="22"/>
      <c r="VGZ101" s="22"/>
      <c r="VHA101" s="22"/>
      <c r="VHB101" s="22"/>
      <c r="VHC101" s="22"/>
      <c r="VHD101" s="22"/>
      <c r="VHE101" s="22"/>
      <c r="VHF101" s="22"/>
      <c r="VHG101" s="22"/>
      <c r="VHH101" s="22"/>
      <c r="VHI101" s="22"/>
      <c r="VHJ101" s="22"/>
      <c r="VHK101" s="22"/>
      <c r="VHL101" s="22"/>
      <c r="VHM101" s="22"/>
      <c r="VHN101" s="22"/>
      <c r="VHO101" s="22"/>
      <c r="VHP101" s="22"/>
      <c r="VHQ101" s="22"/>
      <c r="VHR101" s="22"/>
      <c r="VHS101" s="22"/>
      <c r="VHT101" s="22"/>
      <c r="VHU101" s="22"/>
      <c r="VHV101" s="22"/>
      <c r="VHW101" s="22"/>
      <c r="VHX101" s="22"/>
      <c r="VHY101" s="22"/>
      <c r="VHZ101" s="22"/>
      <c r="VIA101" s="22"/>
      <c r="VIB101" s="22"/>
      <c r="VIC101" s="22"/>
      <c r="VID101" s="22"/>
      <c r="VIE101" s="22"/>
      <c r="VIF101" s="22"/>
      <c r="VIG101" s="22"/>
      <c r="VIH101" s="22"/>
      <c r="VII101" s="22"/>
      <c r="VIJ101" s="22"/>
      <c r="VIK101" s="22"/>
      <c r="VIL101" s="22"/>
      <c r="VIM101" s="22"/>
      <c r="VIN101" s="22"/>
      <c r="VIO101" s="22"/>
      <c r="VIP101" s="22"/>
      <c r="VIQ101" s="22"/>
      <c r="VIR101" s="22"/>
      <c r="VIS101" s="22"/>
      <c r="VIT101" s="22"/>
      <c r="VIU101" s="22"/>
      <c r="VIV101" s="22"/>
      <c r="VIW101" s="22"/>
      <c r="VIX101" s="22"/>
      <c r="VIY101" s="22"/>
      <c r="VIZ101" s="22"/>
      <c r="VJA101" s="22"/>
      <c r="VJB101" s="22"/>
      <c r="VJC101" s="22"/>
      <c r="VJD101" s="22"/>
      <c r="VJE101" s="22"/>
      <c r="VJF101" s="22"/>
      <c r="VJG101" s="22"/>
      <c r="VJH101" s="22"/>
      <c r="VJI101" s="22"/>
      <c r="VJJ101" s="22"/>
      <c r="VJK101" s="22"/>
      <c r="VJL101" s="22"/>
      <c r="VJM101" s="22"/>
      <c r="VJN101" s="22"/>
      <c r="VJO101" s="22"/>
      <c r="VJP101" s="22"/>
      <c r="VJQ101" s="22"/>
      <c r="VJR101" s="22"/>
      <c r="VJS101" s="22"/>
      <c r="VJT101" s="22"/>
      <c r="VJU101" s="22"/>
      <c r="VJV101" s="22"/>
      <c r="VJW101" s="22"/>
      <c r="VJX101" s="22"/>
      <c r="VJY101" s="22"/>
      <c r="VJZ101" s="22"/>
      <c r="VKA101" s="22"/>
      <c r="VKB101" s="22"/>
      <c r="VKC101" s="22"/>
      <c r="VKD101" s="22"/>
      <c r="VKE101" s="22"/>
      <c r="VKF101" s="22"/>
      <c r="VKG101" s="22"/>
      <c r="VKH101" s="22"/>
      <c r="VKI101" s="22"/>
      <c r="VKJ101" s="22"/>
      <c r="VKK101" s="22"/>
      <c r="VKL101" s="22"/>
      <c r="VKM101" s="22"/>
      <c r="VKN101" s="22"/>
      <c r="VKO101" s="22"/>
      <c r="VKP101" s="22"/>
      <c r="VKQ101" s="22"/>
      <c r="VKR101" s="22"/>
      <c r="VKS101" s="22"/>
      <c r="VKT101" s="22"/>
      <c r="VKU101" s="22"/>
      <c r="VKV101" s="22"/>
      <c r="VKW101" s="22"/>
      <c r="VKX101" s="22"/>
      <c r="VKY101" s="22"/>
      <c r="VKZ101" s="22"/>
      <c r="VLA101" s="22"/>
      <c r="VLB101" s="22"/>
      <c r="VLC101" s="22"/>
      <c r="VLD101" s="22"/>
      <c r="VLE101" s="22"/>
      <c r="VLF101" s="22"/>
      <c r="VLG101" s="22"/>
      <c r="VLH101" s="22"/>
      <c r="VLI101" s="22"/>
      <c r="VLJ101" s="22"/>
      <c r="VLK101" s="22"/>
      <c r="VLL101" s="22"/>
      <c r="VLM101" s="22"/>
      <c r="VLN101" s="22"/>
      <c r="VLO101" s="22"/>
      <c r="VLP101" s="22"/>
      <c r="VLQ101" s="22"/>
      <c r="VLR101" s="22"/>
      <c r="VLS101" s="22"/>
      <c r="VLT101" s="22"/>
      <c r="VLU101" s="22"/>
      <c r="VLV101" s="22"/>
      <c r="VLW101" s="22"/>
      <c r="VLX101" s="22"/>
      <c r="VLY101" s="22"/>
      <c r="VLZ101" s="22"/>
      <c r="VMA101" s="22"/>
      <c r="VMB101" s="22"/>
      <c r="VMC101" s="22"/>
      <c r="VMD101" s="22"/>
      <c r="VME101" s="22"/>
      <c r="VMF101" s="22"/>
      <c r="VMG101" s="22"/>
      <c r="VMH101" s="22"/>
      <c r="VMI101" s="22"/>
      <c r="VMJ101" s="22"/>
      <c r="VMK101" s="22"/>
      <c r="VML101" s="22"/>
      <c r="VMM101" s="22"/>
      <c r="VMN101" s="22"/>
      <c r="VMO101" s="22"/>
      <c r="VMP101" s="22"/>
      <c r="VMQ101" s="22"/>
      <c r="VMR101" s="22"/>
      <c r="VMS101" s="22"/>
      <c r="VMT101" s="22"/>
      <c r="VMU101" s="22"/>
      <c r="VMV101" s="22"/>
      <c r="VMW101" s="22"/>
      <c r="VMX101" s="22"/>
      <c r="VMY101" s="22"/>
      <c r="VMZ101" s="22"/>
      <c r="VNA101" s="22"/>
      <c r="VNB101" s="22"/>
      <c r="VNC101" s="22"/>
      <c r="VND101" s="22"/>
      <c r="VNE101" s="22"/>
      <c r="VNF101" s="22"/>
      <c r="VNG101" s="22"/>
      <c r="VNH101" s="22"/>
      <c r="VNI101" s="22"/>
      <c r="VNJ101" s="22"/>
      <c r="VNK101" s="22"/>
      <c r="VNL101" s="22"/>
      <c r="VNM101" s="22"/>
      <c r="VNN101" s="22"/>
      <c r="VNO101" s="22"/>
      <c r="VNP101" s="22"/>
      <c r="VNQ101" s="22"/>
      <c r="VNR101" s="22"/>
      <c r="VNS101" s="22"/>
      <c r="VNT101" s="22"/>
      <c r="VNU101" s="22"/>
      <c r="VNV101" s="22"/>
      <c r="VNW101" s="22"/>
      <c r="VNX101" s="22"/>
      <c r="VNY101" s="22"/>
      <c r="VNZ101" s="22"/>
      <c r="VOA101" s="22"/>
      <c r="VOB101" s="22"/>
      <c r="VOC101" s="22"/>
      <c r="VOD101" s="22"/>
      <c r="VOE101" s="22"/>
      <c r="VOF101" s="22"/>
      <c r="VOG101" s="22"/>
      <c r="VOH101" s="22"/>
      <c r="VOI101" s="22"/>
      <c r="VOJ101" s="22"/>
      <c r="VOK101" s="22"/>
      <c r="VOL101" s="22"/>
      <c r="VOM101" s="22"/>
      <c r="VON101" s="22"/>
      <c r="VOO101" s="22"/>
      <c r="VOP101" s="22"/>
      <c r="VOQ101" s="22"/>
      <c r="VOR101" s="22"/>
      <c r="VOS101" s="22"/>
      <c r="VOT101" s="22"/>
      <c r="VOU101" s="22"/>
      <c r="VOV101" s="22"/>
      <c r="VOW101" s="22"/>
      <c r="VOX101" s="22"/>
      <c r="VOY101" s="22"/>
      <c r="VOZ101" s="22"/>
      <c r="VPA101" s="22"/>
      <c r="VPB101" s="22"/>
      <c r="VPC101" s="22"/>
      <c r="VPD101" s="22"/>
      <c r="VPE101" s="22"/>
      <c r="VPF101" s="22"/>
      <c r="VPG101" s="22"/>
      <c r="VPH101" s="22"/>
      <c r="VPI101" s="22"/>
      <c r="VPJ101" s="22"/>
      <c r="VPK101" s="22"/>
      <c r="VPL101" s="22"/>
      <c r="VPM101" s="22"/>
      <c r="VPN101" s="22"/>
      <c r="VPO101" s="22"/>
      <c r="VPP101" s="22"/>
      <c r="VPQ101" s="22"/>
      <c r="VPR101" s="22"/>
      <c r="VPS101" s="22"/>
      <c r="VPT101" s="22"/>
      <c r="VPU101" s="22"/>
      <c r="VPV101" s="22"/>
      <c r="VPW101" s="22"/>
      <c r="VPX101" s="22"/>
      <c r="VPY101" s="22"/>
      <c r="VPZ101" s="22"/>
      <c r="VQA101" s="22"/>
      <c r="VQB101" s="22"/>
      <c r="VQC101" s="22"/>
      <c r="VQD101" s="22"/>
      <c r="VQE101" s="22"/>
      <c r="VQF101" s="22"/>
      <c r="VQG101" s="22"/>
      <c r="VQH101" s="22"/>
      <c r="VQI101" s="22"/>
      <c r="VQJ101" s="22"/>
      <c r="VQK101" s="22"/>
      <c r="VQL101" s="22"/>
      <c r="VQM101" s="22"/>
      <c r="VQN101" s="22"/>
      <c r="VQO101" s="22"/>
      <c r="VQP101" s="22"/>
      <c r="VQQ101" s="22"/>
      <c r="VQR101" s="22"/>
      <c r="VQS101" s="22"/>
      <c r="VQT101" s="22"/>
      <c r="VQU101" s="22"/>
      <c r="VQV101" s="22"/>
      <c r="VQW101" s="22"/>
      <c r="VQX101" s="22"/>
      <c r="VQY101" s="22"/>
      <c r="VQZ101" s="22"/>
      <c r="VRA101" s="22"/>
      <c r="VRB101" s="22"/>
      <c r="VRC101" s="22"/>
      <c r="VRD101" s="22"/>
      <c r="VRE101" s="22"/>
      <c r="VRF101" s="22"/>
      <c r="VRG101" s="22"/>
      <c r="VRH101" s="22"/>
      <c r="VRI101" s="22"/>
      <c r="VRJ101" s="22"/>
      <c r="VRK101" s="22"/>
      <c r="VRL101" s="22"/>
      <c r="VRM101" s="22"/>
      <c r="VRN101" s="22"/>
      <c r="VRO101" s="22"/>
      <c r="VRP101" s="22"/>
      <c r="VRQ101" s="22"/>
      <c r="VRR101" s="22"/>
      <c r="VRS101" s="22"/>
      <c r="VRT101" s="22"/>
      <c r="VRU101" s="22"/>
      <c r="VRV101" s="22"/>
      <c r="VRW101" s="22"/>
      <c r="VRX101" s="22"/>
      <c r="VRY101" s="22"/>
      <c r="VRZ101" s="22"/>
      <c r="VSA101" s="22"/>
      <c r="VSB101" s="22"/>
      <c r="VSC101" s="22"/>
      <c r="VSD101" s="22"/>
      <c r="VSE101" s="22"/>
      <c r="VSF101" s="22"/>
      <c r="VSG101" s="22"/>
      <c r="VSH101" s="22"/>
      <c r="VSI101" s="22"/>
      <c r="VSJ101" s="22"/>
      <c r="VSK101" s="22"/>
      <c r="VSL101" s="22"/>
      <c r="VSM101" s="22"/>
      <c r="VSN101" s="22"/>
      <c r="VSO101" s="22"/>
      <c r="VSP101" s="22"/>
      <c r="VSQ101" s="22"/>
      <c r="VSR101" s="22"/>
      <c r="VSS101" s="22"/>
      <c r="VST101" s="22"/>
      <c r="VSU101" s="22"/>
      <c r="VSV101" s="22"/>
      <c r="VSW101" s="22"/>
      <c r="VSX101" s="22"/>
      <c r="VSY101" s="22"/>
      <c r="VSZ101" s="22"/>
      <c r="VTA101" s="22"/>
      <c r="VTB101" s="22"/>
      <c r="VTC101" s="22"/>
      <c r="VTD101" s="22"/>
      <c r="VTE101" s="22"/>
      <c r="VTF101" s="22"/>
      <c r="VTG101" s="22"/>
      <c r="VTH101" s="22"/>
      <c r="VTI101" s="22"/>
      <c r="VTJ101" s="22"/>
      <c r="VTK101" s="22"/>
      <c r="VTL101" s="22"/>
      <c r="VTM101" s="22"/>
      <c r="VTN101" s="22"/>
      <c r="VTO101" s="22"/>
      <c r="VTP101" s="22"/>
      <c r="VTQ101" s="22"/>
      <c r="VTR101" s="22"/>
      <c r="VTS101" s="22"/>
      <c r="VTT101" s="22"/>
      <c r="VTU101" s="22"/>
      <c r="VTV101" s="22"/>
      <c r="VTW101" s="22"/>
      <c r="VTX101" s="22"/>
      <c r="VTY101" s="22"/>
      <c r="VTZ101" s="22"/>
      <c r="VUA101" s="22"/>
      <c r="VUB101" s="22"/>
      <c r="VUC101" s="22"/>
      <c r="VUD101" s="22"/>
      <c r="VUE101" s="22"/>
      <c r="VUF101" s="22"/>
      <c r="VUG101" s="22"/>
      <c r="VUH101" s="22"/>
      <c r="VUI101" s="22"/>
      <c r="VUJ101" s="22"/>
      <c r="VUK101" s="22"/>
      <c r="VUL101" s="22"/>
      <c r="VUM101" s="22"/>
      <c r="VUN101" s="22"/>
      <c r="VUO101" s="22"/>
      <c r="VUP101" s="22"/>
      <c r="VUQ101" s="22"/>
      <c r="VUR101" s="22"/>
      <c r="VUS101" s="22"/>
      <c r="VUT101" s="22"/>
      <c r="VUU101" s="22"/>
      <c r="VUV101" s="22"/>
      <c r="VUW101" s="22"/>
      <c r="VUX101" s="22"/>
      <c r="VUY101" s="22"/>
      <c r="VUZ101" s="22"/>
      <c r="VVA101" s="22"/>
      <c r="VVB101" s="22"/>
      <c r="VVC101" s="22"/>
      <c r="VVD101" s="22"/>
      <c r="VVE101" s="22"/>
      <c r="VVF101" s="22"/>
      <c r="VVG101" s="22"/>
      <c r="VVH101" s="22"/>
      <c r="VVI101" s="22"/>
      <c r="VVJ101" s="22"/>
      <c r="VVK101" s="22"/>
      <c r="VVL101" s="22"/>
      <c r="VVM101" s="22"/>
      <c r="VVN101" s="22"/>
      <c r="VVO101" s="22"/>
      <c r="VVP101" s="22"/>
      <c r="VVQ101" s="22"/>
      <c r="VVR101" s="22"/>
      <c r="VVS101" s="22"/>
      <c r="VVT101" s="22"/>
      <c r="VVU101" s="22"/>
      <c r="VVV101" s="22"/>
      <c r="VVW101" s="22"/>
      <c r="VVX101" s="22"/>
      <c r="VVY101" s="22"/>
      <c r="VVZ101" s="22"/>
      <c r="VWA101" s="22"/>
      <c r="VWB101" s="22"/>
      <c r="VWC101" s="22"/>
      <c r="VWD101" s="22"/>
      <c r="VWE101" s="22"/>
      <c r="VWF101" s="22"/>
      <c r="VWG101" s="22"/>
      <c r="VWH101" s="22"/>
      <c r="VWI101" s="22"/>
      <c r="VWJ101" s="22"/>
      <c r="VWK101" s="22"/>
      <c r="VWL101" s="22"/>
      <c r="VWM101" s="22"/>
      <c r="VWN101" s="22"/>
      <c r="VWO101" s="22"/>
      <c r="VWP101" s="22"/>
      <c r="VWQ101" s="22"/>
      <c r="VWR101" s="22"/>
      <c r="VWS101" s="22"/>
      <c r="VWT101" s="22"/>
      <c r="VWU101" s="22"/>
      <c r="VWV101" s="22"/>
      <c r="VWW101" s="22"/>
      <c r="VWX101" s="22"/>
      <c r="VWY101" s="22"/>
      <c r="VWZ101" s="22"/>
      <c r="VXA101" s="22"/>
      <c r="VXB101" s="22"/>
      <c r="VXC101" s="22"/>
      <c r="VXD101" s="22"/>
      <c r="VXE101" s="22"/>
      <c r="VXF101" s="22"/>
      <c r="VXG101" s="22"/>
      <c r="VXH101" s="22"/>
      <c r="VXI101" s="22"/>
      <c r="VXJ101" s="22"/>
      <c r="VXK101" s="22"/>
      <c r="VXL101" s="22"/>
      <c r="VXM101" s="22"/>
      <c r="VXN101" s="22"/>
      <c r="VXO101" s="22"/>
      <c r="VXP101" s="22"/>
      <c r="VXQ101" s="22"/>
      <c r="VXR101" s="22"/>
      <c r="VXS101" s="22"/>
      <c r="VXT101" s="22"/>
      <c r="VXU101" s="22"/>
      <c r="VXV101" s="22"/>
      <c r="VXW101" s="22"/>
      <c r="VXX101" s="22"/>
      <c r="VXY101" s="22"/>
      <c r="VXZ101" s="22"/>
      <c r="VYA101" s="22"/>
      <c r="VYB101" s="22"/>
      <c r="VYC101" s="22"/>
      <c r="VYD101" s="22"/>
      <c r="VYE101" s="22"/>
      <c r="VYF101" s="22"/>
      <c r="VYG101" s="22"/>
      <c r="VYH101" s="22"/>
      <c r="VYI101" s="22"/>
      <c r="VYJ101" s="22"/>
      <c r="VYK101" s="22"/>
      <c r="VYL101" s="22"/>
      <c r="VYM101" s="22"/>
      <c r="VYN101" s="22"/>
      <c r="VYO101" s="22"/>
      <c r="VYP101" s="22"/>
      <c r="VYQ101" s="22"/>
      <c r="VYR101" s="22"/>
      <c r="VYS101" s="22"/>
      <c r="VYT101" s="22"/>
      <c r="VYU101" s="22"/>
      <c r="VYV101" s="22"/>
      <c r="VYW101" s="22"/>
      <c r="VYX101" s="22"/>
      <c r="VYY101" s="22"/>
      <c r="VYZ101" s="22"/>
      <c r="VZA101" s="22"/>
      <c r="VZB101" s="22"/>
      <c r="VZC101" s="22"/>
      <c r="VZD101" s="22"/>
      <c r="VZE101" s="22"/>
      <c r="VZF101" s="22"/>
      <c r="VZG101" s="22"/>
      <c r="VZH101" s="22"/>
      <c r="VZI101" s="22"/>
      <c r="VZJ101" s="22"/>
      <c r="VZK101" s="22"/>
      <c r="VZL101" s="22"/>
      <c r="VZM101" s="22"/>
      <c r="VZN101" s="22"/>
      <c r="VZO101" s="22"/>
      <c r="VZP101" s="22"/>
      <c r="VZQ101" s="22"/>
      <c r="VZR101" s="22"/>
      <c r="VZS101" s="22"/>
      <c r="VZT101" s="22"/>
      <c r="VZU101" s="22"/>
      <c r="VZV101" s="22"/>
      <c r="VZW101" s="22"/>
      <c r="VZX101" s="22"/>
      <c r="VZY101" s="22"/>
      <c r="VZZ101" s="22"/>
      <c r="WAA101" s="22"/>
      <c r="WAB101" s="22"/>
      <c r="WAC101" s="22"/>
      <c r="WAD101" s="22"/>
      <c r="WAE101" s="22"/>
      <c r="WAF101" s="22"/>
      <c r="WAG101" s="22"/>
      <c r="WAH101" s="22"/>
      <c r="WAI101" s="22"/>
      <c r="WAJ101" s="22"/>
      <c r="WAK101" s="22"/>
      <c r="WAL101" s="22"/>
      <c r="WAM101" s="22"/>
      <c r="WAN101" s="22"/>
      <c r="WAO101" s="22"/>
      <c r="WAP101" s="22"/>
      <c r="WAQ101" s="22"/>
      <c r="WAR101" s="22"/>
      <c r="WAS101" s="22"/>
      <c r="WAT101" s="22"/>
      <c r="WAU101" s="22"/>
      <c r="WAV101" s="22"/>
      <c r="WAW101" s="22"/>
      <c r="WAX101" s="22"/>
      <c r="WAY101" s="22"/>
      <c r="WAZ101" s="22"/>
      <c r="WBA101" s="22"/>
      <c r="WBB101" s="22"/>
      <c r="WBC101" s="22"/>
      <c r="WBD101" s="22"/>
      <c r="WBE101" s="22"/>
      <c r="WBF101" s="22"/>
      <c r="WBG101" s="22"/>
      <c r="WBH101" s="22"/>
      <c r="WBI101" s="22"/>
      <c r="WBJ101" s="22"/>
      <c r="WBK101" s="22"/>
      <c r="WBL101" s="22"/>
      <c r="WBM101" s="22"/>
      <c r="WBN101" s="22"/>
      <c r="WBO101" s="22"/>
      <c r="WBP101" s="22"/>
      <c r="WBQ101" s="22"/>
      <c r="WBR101" s="22"/>
      <c r="WBS101" s="22"/>
      <c r="WBT101" s="22"/>
      <c r="WBU101" s="22"/>
      <c r="WBV101" s="22"/>
      <c r="WBW101" s="22"/>
      <c r="WBX101" s="22"/>
      <c r="WBY101" s="22"/>
      <c r="WBZ101" s="22"/>
      <c r="WCA101" s="22"/>
      <c r="WCB101" s="22"/>
      <c r="WCC101" s="22"/>
      <c r="WCD101" s="22"/>
      <c r="WCE101" s="22"/>
      <c r="WCF101" s="22"/>
      <c r="WCG101" s="22"/>
      <c r="WCH101" s="22"/>
      <c r="WCI101" s="22"/>
      <c r="WCJ101" s="22"/>
      <c r="WCK101" s="22"/>
      <c r="WCL101" s="22"/>
      <c r="WCM101" s="22"/>
      <c r="WCN101" s="22"/>
      <c r="WCO101" s="22"/>
      <c r="WCP101" s="22"/>
      <c r="WCQ101" s="22"/>
      <c r="WCR101" s="22"/>
      <c r="WCS101" s="22"/>
      <c r="WCT101" s="22"/>
      <c r="WCU101" s="22"/>
      <c r="WCV101" s="22"/>
      <c r="WCW101" s="22"/>
      <c r="WCX101" s="22"/>
      <c r="WCY101" s="22"/>
      <c r="WCZ101" s="22"/>
      <c r="WDA101" s="22"/>
      <c r="WDB101" s="22"/>
      <c r="WDC101" s="22"/>
      <c r="WDD101" s="22"/>
      <c r="WDE101" s="22"/>
      <c r="WDF101" s="22"/>
      <c r="WDG101" s="22"/>
      <c r="WDH101" s="22"/>
      <c r="WDI101" s="22"/>
      <c r="WDJ101" s="22"/>
      <c r="WDK101" s="22"/>
      <c r="WDL101" s="22"/>
      <c r="WDM101" s="22"/>
      <c r="WDN101" s="22"/>
      <c r="WDO101" s="22"/>
      <c r="WDP101" s="22"/>
      <c r="WDQ101" s="22"/>
      <c r="WDR101" s="22"/>
      <c r="WDS101" s="22"/>
      <c r="WDT101" s="22"/>
      <c r="WDU101" s="22"/>
      <c r="WDV101" s="22"/>
      <c r="WDW101" s="22"/>
      <c r="WDX101" s="22"/>
      <c r="WDY101" s="22"/>
      <c r="WDZ101" s="22"/>
      <c r="WEA101" s="22"/>
      <c r="WEB101" s="22"/>
      <c r="WEC101" s="22"/>
      <c r="WED101" s="22"/>
      <c r="WEE101" s="22"/>
      <c r="WEF101" s="22"/>
      <c r="WEG101" s="22"/>
      <c r="WEH101" s="22"/>
      <c r="WEI101" s="22"/>
      <c r="WEJ101" s="22"/>
      <c r="WEK101" s="22"/>
      <c r="WEL101" s="22"/>
      <c r="WEM101" s="22"/>
      <c r="WEN101" s="22"/>
      <c r="WEO101" s="22"/>
      <c r="WEP101" s="22"/>
      <c r="WEQ101" s="22"/>
      <c r="WER101" s="22"/>
      <c r="WES101" s="22"/>
      <c r="WET101" s="22"/>
      <c r="WEU101" s="22"/>
      <c r="WEV101" s="22"/>
      <c r="WEW101" s="22"/>
      <c r="WEX101" s="22"/>
      <c r="WEY101" s="22"/>
      <c r="WEZ101" s="22"/>
      <c r="WFA101" s="22"/>
      <c r="WFB101" s="22"/>
      <c r="WFC101" s="22"/>
      <c r="WFD101" s="22"/>
      <c r="WFE101" s="22"/>
      <c r="WFF101" s="22"/>
      <c r="WFG101" s="22"/>
      <c r="WFH101" s="22"/>
      <c r="WFI101" s="22"/>
      <c r="WFJ101" s="22"/>
      <c r="WFK101" s="22"/>
      <c r="WFL101" s="22"/>
      <c r="WFM101" s="22"/>
      <c r="WFN101" s="22"/>
      <c r="WFO101" s="22"/>
      <c r="WFP101" s="22"/>
      <c r="WFQ101" s="22"/>
      <c r="WFR101" s="22"/>
      <c r="WFS101" s="22"/>
      <c r="WFT101" s="22"/>
      <c r="WFU101" s="22"/>
      <c r="WFV101" s="22"/>
      <c r="WFW101" s="22"/>
      <c r="WFX101" s="22"/>
      <c r="WFY101" s="22"/>
      <c r="WFZ101" s="22"/>
      <c r="WGA101" s="22"/>
      <c r="WGB101" s="22"/>
      <c r="WGC101" s="22"/>
      <c r="WGD101" s="22"/>
      <c r="WGE101" s="22"/>
      <c r="WGF101" s="22"/>
      <c r="WGG101" s="22"/>
      <c r="WGH101" s="22"/>
      <c r="WGI101" s="22"/>
      <c r="WGJ101" s="22"/>
      <c r="WGK101" s="22"/>
      <c r="WGL101" s="22"/>
      <c r="WGM101" s="22"/>
      <c r="WGN101" s="22"/>
      <c r="WGO101" s="22"/>
      <c r="WGP101" s="22"/>
      <c r="WGQ101" s="22"/>
      <c r="WGR101" s="22"/>
      <c r="WGS101" s="22"/>
      <c r="WGT101" s="22"/>
      <c r="WGU101" s="22"/>
      <c r="WGV101" s="22"/>
      <c r="WGW101" s="22"/>
      <c r="WGX101" s="22"/>
      <c r="WGY101" s="22"/>
      <c r="WGZ101" s="22"/>
      <c r="WHA101" s="22"/>
      <c r="WHB101" s="22"/>
      <c r="WHC101" s="22"/>
      <c r="WHD101" s="22"/>
      <c r="WHE101" s="22"/>
      <c r="WHF101" s="22"/>
      <c r="WHG101" s="22"/>
      <c r="WHH101" s="22"/>
      <c r="WHI101" s="22"/>
      <c r="WHJ101" s="22"/>
      <c r="WHK101" s="22"/>
      <c r="WHL101" s="22"/>
      <c r="WHM101" s="22"/>
      <c r="WHN101" s="22"/>
      <c r="WHO101" s="22"/>
      <c r="WHP101" s="22"/>
      <c r="WHQ101" s="22"/>
      <c r="WHR101" s="22"/>
      <c r="WHS101" s="22"/>
      <c r="WHT101" s="22"/>
      <c r="WHU101" s="22"/>
      <c r="WHV101" s="22"/>
      <c r="WHW101" s="22"/>
      <c r="WHX101" s="22"/>
      <c r="WHY101" s="22"/>
      <c r="WHZ101" s="22"/>
      <c r="WIA101" s="22"/>
      <c r="WIB101" s="22"/>
      <c r="WIC101" s="22"/>
      <c r="WID101" s="22"/>
      <c r="WIE101" s="22"/>
      <c r="WIF101" s="22"/>
      <c r="WIG101" s="22"/>
      <c r="WIH101" s="22"/>
      <c r="WII101" s="22"/>
      <c r="WIJ101" s="22"/>
      <c r="WIK101" s="22"/>
      <c r="WIL101" s="22"/>
      <c r="WIM101" s="22"/>
      <c r="WIN101" s="22"/>
      <c r="WIO101" s="22"/>
      <c r="WIP101" s="22"/>
      <c r="WIQ101" s="22"/>
      <c r="WIR101" s="22"/>
      <c r="WIS101" s="22"/>
      <c r="WIT101" s="22"/>
      <c r="WIU101" s="22"/>
      <c r="WIV101" s="22"/>
      <c r="WIW101" s="22"/>
      <c r="WIX101" s="22"/>
      <c r="WIY101" s="22"/>
      <c r="WIZ101" s="22"/>
      <c r="WJA101" s="22"/>
      <c r="WJB101" s="22"/>
      <c r="WJC101" s="22"/>
      <c r="WJD101" s="22"/>
      <c r="WJE101" s="22"/>
      <c r="WJF101" s="22"/>
      <c r="WJG101" s="22"/>
      <c r="WJH101" s="22"/>
      <c r="WJI101" s="22"/>
      <c r="WJJ101" s="22"/>
      <c r="WJK101" s="22"/>
      <c r="WJL101" s="22"/>
      <c r="WJM101" s="22"/>
      <c r="WJN101" s="22"/>
      <c r="WJO101" s="22"/>
      <c r="WJP101" s="22"/>
      <c r="WJQ101" s="22"/>
      <c r="WJR101" s="22"/>
      <c r="WJS101" s="22"/>
      <c r="WJT101" s="22"/>
      <c r="WJU101" s="22"/>
      <c r="WJV101" s="22"/>
      <c r="WJW101" s="22"/>
      <c r="WJX101" s="22"/>
      <c r="WJY101" s="22"/>
      <c r="WJZ101" s="22"/>
      <c r="WKA101" s="22"/>
      <c r="WKB101" s="22"/>
      <c r="WKC101" s="22"/>
      <c r="WKD101" s="22"/>
      <c r="WKE101" s="22"/>
      <c r="WKF101" s="22"/>
      <c r="WKG101" s="22"/>
      <c r="WKH101" s="22"/>
      <c r="WKI101" s="22"/>
      <c r="WKJ101" s="22"/>
      <c r="WKK101" s="22"/>
      <c r="WKL101" s="22"/>
      <c r="WKM101" s="22"/>
      <c r="WKN101" s="22"/>
      <c r="WKO101" s="22"/>
      <c r="WKP101" s="22"/>
      <c r="WKQ101" s="22"/>
      <c r="WKR101" s="22"/>
      <c r="WKS101" s="22"/>
      <c r="WKT101" s="22"/>
      <c r="WKU101" s="22"/>
      <c r="WKV101" s="22"/>
      <c r="WKW101" s="22"/>
      <c r="WKX101" s="22"/>
      <c r="WKY101" s="22"/>
      <c r="WKZ101" s="22"/>
      <c r="WLA101" s="22"/>
      <c r="WLB101" s="22"/>
      <c r="WLC101" s="22"/>
      <c r="WLD101" s="22"/>
      <c r="WLE101" s="22"/>
      <c r="WLF101" s="22"/>
      <c r="WLG101" s="22"/>
      <c r="WLH101" s="22"/>
      <c r="WLI101" s="22"/>
      <c r="WLJ101" s="22"/>
      <c r="WLK101" s="22"/>
      <c r="WLL101" s="22"/>
      <c r="WLM101" s="22"/>
      <c r="WLN101" s="22"/>
      <c r="WLO101" s="22"/>
      <c r="WLP101" s="22"/>
      <c r="WLQ101" s="22"/>
      <c r="WLR101" s="22"/>
      <c r="WLS101" s="22"/>
      <c r="WLT101" s="22"/>
      <c r="WLU101" s="22"/>
      <c r="WLV101" s="22"/>
      <c r="WLW101" s="22"/>
      <c r="WLX101" s="22"/>
      <c r="WLY101" s="22"/>
      <c r="WLZ101" s="22"/>
      <c r="WMA101" s="22"/>
      <c r="WMB101" s="22"/>
      <c r="WMC101" s="22"/>
      <c r="WMD101" s="22"/>
      <c r="WME101" s="22"/>
      <c r="WMF101" s="22"/>
      <c r="WMG101" s="22"/>
      <c r="WMH101" s="22"/>
      <c r="WMI101" s="22"/>
      <c r="WMJ101" s="22"/>
      <c r="WMK101" s="22"/>
      <c r="WML101" s="22"/>
      <c r="WMM101" s="22"/>
      <c r="WMN101" s="22"/>
      <c r="WMO101" s="22"/>
      <c r="WMP101" s="22"/>
      <c r="WMQ101" s="22"/>
      <c r="WMR101" s="22"/>
      <c r="WMS101" s="22"/>
      <c r="WMT101" s="22"/>
      <c r="WMU101" s="22"/>
      <c r="WMV101" s="22"/>
      <c r="WMW101" s="22"/>
      <c r="WMX101" s="22"/>
      <c r="WMY101" s="22"/>
      <c r="WMZ101" s="22"/>
      <c r="WNA101" s="22"/>
      <c r="WNB101" s="22"/>
      <c r="WNC101" s="22"/>
      <c r="WND101" s="22"/>
      <c r="WNE101" s="22"/>
      <c r="WNF101" s="22"/>
      <c r="WNG101" s="22"/>
      <c r="WNH101" s="22"/>
      <c r="WNI101" s="22"/>
      <c r="WNJ101" s="22"/>
      <c r="WNK101" s="22"/>
      <c r="WNL101" s="22"/>
      <c r="WNM101" s="22"/>
      <c r="WNN101" s="22"/>
      <c r="WNO101" s="22"/>
      <c r="WNP101" s="22"/>
      <c r="WNQ101" s="22"/>
      <c r="WNR101" s="22"/>
      <c r="WNS101" s="22"/>
      <c r="WNT101" s="22"/>
      <c r="WNU101" s="22"/>
      <c r="WNV101" s="22"/>
      <c r="WNW101" s="22"/>
      <c r="WNX101" s="22"/>
      <c r="WNY101" s="22"/>
      <c r="WNZ101" s="22"/>
      <c r="WOA101" s="22"/>
      <c r="WOB101" s="22"/>
      <c r="WOC101" s="22"/>
      <c r="WOD101" s="22"/>
      <c r="WOE101" s="22"/>
      <c r="WOF101" s="22"/>
      <c r="WOG101" s="22"/>
      <c r="WOH101" s="22"/>
      <c r="WOI101" s="22"/>
      <c r="WOJ101" s="22"/>
      <c r="WOK101" s="22"/>
      <c r="WOL101" s="22"/>
      <c r="WOM101" s="22"/>
      <c r="WON101" s="22"/>
      <c r="WOO101" s="22"/>
      <c r="WOP101" s="22"/>
      <c r="WOQ101" s="22"/>
      <c r="WOR101" s="22"/>
      <c r="WOS101" s="22"/>
      <c r="WOT101" s="22"/>
      <c r="WOU101" s="22"/>
      <c r="WOV101" s="22"/>
      <c r="WOW101" s="22"/>
      <c r="WOX101" s="22"/>
      <c r="WOY101" s="22"/>
      <c r="WOZ101" s="22"/>
      <c r="WPA101" s="22"/>
      <c r="WPB101" s="22"/>
      <c r="WPC101" s="22"/>
      <c r="WPD101" s="22"/>
      <c r="WPE101" s="22"/>
      <c r="WPF101" s="22"/>
      <c r="WPG101" s="22"/>
      <c r="WPH101" s="22"/>
      <c r="WPI101" s="22"/>
      <c r="WPJ101" s="22"/>
      <c r="WPK101" s="22"/>
      <c r="WPL101" s="22"/>
      <c r="WPM101" s="22"/>
      <c r="WPN101" s="22"/>
      <c r="WPO101" s="22"/>
      <c r="WPP101" s="22"/>
      <c r="WPQ101" s="22"/>
      <c r="WPR101" s="22"/>
      <c r="WPS101" s="22"/>
      <c r="WPT101" s="22"/>
      <c r="WPU101" s="22"/>
      <c r="WPV101" s="22"/>
      <c r="WPW101" s="22"/>
      <c r="WPX101" s="22"/>
      <c r="WPY101" s="22"/>
      <c r="WPZ101" s="22"/>
      <c r="WQA101" s="22"/>
      <c r="WQB101" s="22"/>
      <c r="WQC101" s="22"/>
      <c r="WQD101" s="22"/>
      <c r="WQE101" s="22"/>
      <c r="WQF101" s="22"/>
      <c r="WQG101" s="22"/>
      <c r="WQH101" s="22"/>
      <c r="WQI101" s="22"/>
      <c r="WQJ101" s="22"/>
      <c r="WQK101" s="22"/>
      <c r="WQL101" s="22"/>
      <c r="WQM101" s="22"/>
      <c r="WQN101" s="22"/>
      <c r="WQO101" s="22"/>
      <c r="WQP101" s="22"/>
      <c r="WQQ101" s="22"/>
      <c r="WQR101" s="22"/>
      <c r="WQS101" s="22"/>
      <c r="WQT101" s="22"/>
      <c r="WQU101" s="22"/>
      <c r="WQV101" s="22"/>
      <c r="WQW101" s="22"/>
      <c r="WQX101" s="22"/>
      <c r="WQY101" s="22"/>
      <c r="WQZ101" s="22"/>
      <c r="WRA101" s="22"/>
      <c r="WRB101" s="22"/>
      <c r="WRC101" s="22"/>
      <c r="WRD101" s="22"/>
      <c r="WRE101" s="22"/>
      <c r="WRF101" s="22"/>
      <c r="WRG101" s="22"/>
      <c r="WRH101" s="22"/>
      <c r="WRI101" s="22"/>
      <c r="WRJ101" s="22"/>
      <c r="WRK101" s="22"/>
      <c r="WRL101" s="22"/>
      <c r="WRM101" s="22"/>
      <c r="WRN101" s="22"/>
      <c r="WRO101" s="22"/>
      <c r="WRP101" s="22"/>
      <c r="WRQ101" s="22"/>
      <c r="WRR101" s="22"/>
      <c r="WRS101" s="22"/>
      <c r="WRT101" s="22"/>
      <c r="WRU101" s="22"/>
      <c r="WRV101" s="22"/>
      <c r="WRW101" s="22"/>
      <c r="WRX101" s="22"/>
      <c r="WRY101" s="22"/>
      <c r="WRZ101" s="22"/>
      <c r="WSA101" s="22"/>
      <c r="WSB101" s="22"/>
      <c r="WSC101" s="22"/>
      <c r="WSD101" s="22"/>
      <c r="WSE101" s="22"/>
      <c r="WSF101" s="22"/>
      <c r="WSG101" s="22"/>
      <c r="WSH101" s="22"/>
      <c r="WSI101" s="22"/>
      <c r="WSJ101" s="22"/>
      <c r="WSK101" s="22"/>
      <c r="WSL101" s="22"/>
      <c r="WSM101" s="22"/>
      <c r="WSN101" s="22"/>
      <c r="WSO101" s="22"/>
      <c r="WSP101" s="22"/>
      <c r="WSQ101" s="22"/>
      <c r="WSR101" s="22"/>
      <c r="WSS101" s="22"/>
      <c r="WST101" s="22"/>
      <c r="WSU101" s="22"/>
      <c r="WSV101" s="22"/>
      <c r="WSW101" s="22"/>
      <c r="WSX101" s="22"/>
      <c r="WSY101" s="22"/>
      <c r="WSZ101" s="22"/>
      <c r="WTA101" s="22"/>
      <c r="WTB101" s="22"/>
      <c r="WTC101" s="22"/>
      <c r="WTD101" s="22"/>
      <c r="WTE101" s="22"/>
      <c r="WTF101" s="22"/>
      <c r="WTG101" s="22"/>
      <c r="WTH101" s="22"/>
      <c r="WTI101" s="22"/>
      <c r="WTJ101" s="22"/>
      <c r="WTK101" s="22"/>
      <c r="WTL101" s="22"/>
      <c r="WTM101" s="22"/>
      <c r="WTN101" s="22"/>
      <c r="WTO101" s="22"/>
      <c r="WTP101" s="22"/>
      <c r="WTQ101" s="22"/>
      <c r="WTR101" s="22"/>
      <c r="WTS101" s="22"/>
      <c r="WTT101" s="22"/>
      <c r="WTU101" s="22"/>
      <c r="WTV101" s="22"/>
      <c r="WTW101" s="22"/>
      <c r="WTX101" s="22"/>
      <c r="WTY101" s="22"/>
      <c r="WTZ101" s="22"/>
      <c r="WUA101" s="22"/>
      <c r="WUB101" s="22"/>
      <c r="WUC101" s="22"/>
      <c r="WUD101" s="22"/>
      <c r="WUE101" s="22"/>
      <c r="WUF101" s="22"/>
      <c r="WUG101" s="22"/>
      <c r="WUH101" s="22"/>
      <c r="WUI101" s="22"/>
      <c r="WUJ101" s="22"/>
      <c r="WUK101" s="22"/>
      <c r="WUL101" s="22"/>
      <c r="WUM101" s="22"/>
      <c r="WUN101" s="22"/>
      <c r="WUO101" s="22"/>
      <c r="WUP101" s="22"/>
      <c r="WUQ101" s="22"/>
      <c r="WUR101" s="22"/>
      <c r="WUS101" s="22"/>
      <c r="WUT101" s="22"/>
      <c r="WUU101" s="22"/>
      <c r="WUV101" s="22"/>
      <c r="WUW101" s="22"/>
      <c r="WUX101" s="22"/>
      <c r="WUY101" s="22"/>
      <c r="WUZ101" s="22"/>
      <c r="WVA101" s="22"/>
      <c r="WVB101" s="22"/>
      <c r="WVC101" s="22"/>
      <c r="WVD101" s="22"/>
      <c r="WVE101" s="22"/>
      <c r="WVF101" s="22"/>
      <c r="WVG101" s="22"/>
      <c r="WVH101" s="22"/>
      <c r="WVI101" s="22"/>
      <c r="WVJ101" s="22"/>
      <c r="WVK101" s="22"/>
      <c r="WVL101" s="22"/>
      <c r="WVM101" s="22"/>
      <c r="WVN101" s="22"/>
      <c r="WVO101" s="22"/>
      <c r="WVP101" s="22"/>
      <c r="WVQ101" s="22"/>
      <c r="WVR101" s="22"/>
      <c r="WVS101" s="22"/>
      <c r="WVT101" s="22"/>
      <c r="WVU101" s="22"/>
      <c r="WVV101" s="22"/>
      <c r="WVW101" s="22"/>
      <c r="WVX101" s="22"/>
      <c r="WVY101" s="22"/>
      <c r="WVZ101" s="22"/>
      <c r="WWA101" s="22"/>
      <c r="WWB101" s="22"/>
      <c r="WWC101" s="22"/>
      <c r="WWD101" s="22"/>
      <c r="WWE101" s="22"/>
      <c r="WWF101" s="22"/>
      <c r="WWG101" s="22"/>
      <c r="WWH101" s="22"/>
      <c r="WWI101" s="22"/>
      <c r="WWJ101" s="22"/>
      <c r="WWK101" s="22"/>
      <c r="WWL101" s="22"/>
      <c r="WWM101" s="22"/>
      <c r="WWN101" s="22"/>
      <c r="WWO101" s="22"/>
      <c r="WWP101" s="22"/>
      <c r="WWQ101" s="22"/>
      <c r="WWR101" s="22"/>
      <c r="WWS101" s="22"/>
      <c r="WWT101" s="22"/>
      <c r="WWU101" s="22"/>
      <c r="WWV101" s="22"/>
      <c r="WWW101" s="22"/>
      <c r="WWX101" s="22"/>
      <c r="WWY101" s="22"/>
      <c r="WWZ101" s="22"/>
      <c r="WXA101" s="22"/>
      <c r="WXB101" s="22"/>
      <c r="WXC101" s="22"/>
      <c r="WXD101" s="22"/>
      <c r="WXE101" s="22"/>
      <c r="WXF101" s="22"/>
      <c r="WXG101" s="22"/>
      <c r="WXH101" s="22"/>
      <c r="WXI101" s="22"/>
      <c r="WXJ101" s="22"/>
      <c r="WXK101" s="22"/>
      <c r="WXL101" s="22"/>
      <c r="WXM101" s="22"/>
      <c r="WXN101" s="22"/>
      <c r="WXO101" s="22"/>
      <c r="WXP101" s="22"/>
      <c r="WXQ101" s="22"/>
      <c r="WXR101" s="22"/>
      <c r="WXS101" s="22"/>
      <c r="WXT101" s="22"/>
      <c r="WXU101" s="22"/>
      <c r="WXV101" s="22"/>
      <c r="WXW101" s="22"/>
      <c r="WXX101" s="22"/>
      <c r="WXY101" s="22"/>
      <c r="WXZ101" s="22"/>
      <c r="WYA101" s="22"/>
      <c r="WYB101" s="22"/>
      <c r="WYC101" s="22"/>
      <c r="WYD101" s="22"/>
      <c r="WYE101" s="22"/>
      <c r="WYF101" s="22"/>
      <c r="WYG101" s="22"/>
      <c r="WYH101" s="22"/>
      <c r="WYI101" s="22"/>
      <c r="WYJ101" s="22"/>
      <c r="WYK101" s="22"/>
      <c r="WYL101" s="22"/>
      <c r="WYM101" s="22"/>
      <c r="WYN101" s="22"/>
      <c r="WYO101" s="22"/>
      <c r="WYP101" s="22"/>
      <c r="WYQ101" s="22"/>
      <c r="WYR101" s="22"/>
      <c r="WYS101" s="22"/>
      <c r="WYT101" s="22"/>
      <c r="WYU101" s="22"/>
      <c r="WYV101" s="22"/>
      <c r="WYW101" s="22"/>
      <c r="WYX101" s="22"/>
      <c r="WYY101" s="22"/>
      <c r="WYZ101" s="22"/>
      <c r="WZA101" s="22"/>
      <c r="WZB101" s="22"/>
      <c r="WZC101" s="22"/>
      <c r="WZD101" s="22"/>
      <c r="WZE101" s="22"/>
      <c r="WZF101" s="22"/>
      <c r="WZG101" s="22"/>
      <c r="WZH101" s="22"/>
      <c r="WZI101" s="22"/>
      <c r="WZJ101" s="22"/>
      <c r="WZK101" s="22"/>
      <c r="WZL101" s="22"/>
      <c r="WZM101" s="22"/>
      <c r="WZN101" s="22"/>
      <c r="WZO101" s="22"/>
      <c r="WZP101" s="22"/>
      <c r="WZQ101" s="22"/>
      <c r="WZR101" s="22"/>
      <c r="WZS101" s="22"/>
      <c r="WZT101" s="22"/>
      <c r="WZU101" s="22"/>
      <c r="WZV101" s="22"/>
      <c r="WZW101" s="22"/>
      <c r="WZX101" s="22"/>
      <c r="WZY101" s="22"/>
      <c r="WZZ101" s="22"/>
      <c r="XAA101" s="22"/>
      <c r="XAB101" s="22"/>
      <c r="XAC101" s="22"/>
      <c r="XAD101" s="22"/>
      <c r="XAE101" s="22"/>
      <c r="XAF101" s="22"/>
      <c r="XAG101" s="22"/>
      <c r="XAH101" s="22"/>
      <c r="XAI101" s="22"/>
      <c r="XAJ101" s="22"/>
      <c r="XAK101" s="22"/>
      <c r="XAL101" s="22"/>
      <c r="XAM101" s="22"/>
      <c r="XAN101" s="22"/>
      <c r="XAO101" s="22"/>
      <c r="XAP101" s="22"/>
      <c r="XAQ101" s="22"/>
      <c r="XAR101" s="22"/>
      <c r="XAS101" s="22"/>
      <c r="XAT101" s="22"/>
      <c r="XAU101" s="22"/>
      <c r="XAV101" s="22"/>
      <c r="XAW101" s="22"/>
      <c r="XAX101" s="22"/>
      <c r="XAY101" s="22"/>
      <c r="XAZ101" s="22"/>
      <c r="XBA101" s="22"/>
      <c r="XBB101" s="22"/>
      <c r="XBC101" s="22"/>
      <c r="XBD101" s="22"/>
      <c r="XBE101" s="22"/>
      <c r="XBF101" s="22"/>
      <c r="XBG101" s="22"/>
      <c r="XBH101" s="22"/>
      <c r="XBI101" s="22"/>
      <c r="XBJ101" s="22"/>
      <c r="XBK101" s="22"/>
      <c r="XBL101" s="22"/>
      <c r="XBM101" s="22"/>
      <c r="XBN101" s="22"/>
      <c r="XBO101" s="22"/>
      <c r="XBP101" s="22"/>
      <c r="XBQ101" s="22"/>
      <c r="XBR101" s="22"/>
      <c r="XBS101" s="22"/>
      <c r="XBT101" s="22"/>
      <c r="XBU101" s="22"/>
      <c r="XBV101" s="22"/>
      <c r="XBW101" s="22"/>
      <c r="XBX101" s="22"/>
      <c r="XBY101" s="22"/>
      <c r="XBZ101" s="22"/>
      <c r="XCA101" s="22"/>
      <c r="XCB101" s="22"/>
      <c r="XCC101" s="22"/>
      <c r="XCD101" s="22"/>
      <c r="XCE101" s="22"/>
      <c r="XCF101" s="22"/>
      <c r="XCG101" s="22"/>
      <c r="XCH101" s="22"/>
      <c r="XCI101" s="22"/>
      <c r="XCJ101" s="22"/>
      <c r="XCK101" s="22"/>
      <c r="XCL101" s="22"/>
      <c r="XCM101" s="22"/>
      <c r="XCN101" s="22"/>
      <c r="XCO101" s="22"/>
      <c r="XCP101" s="22"/>
      <c r="XCQ101" s="22"/>
      <c r="XCR101" s="22"/>
      <c r="XCS101" s="22"/>
      <c r="XCT101" s="22"/>
      <c r="XCU101" s="22"/>
      <c r="XCV101" s="22"/>
      <c r="XCW101" s="22"/>
      <c r="XCX101" s="22"/>
      <c r="XCY101" s="22"/>
      <c r="XCZ101" s="22"/>
      <c r="XDA101" s="22"/>
      <c r="XDB101" s="22"/>
      <c r="XDC101" s="22"/>
      <c r="XDD101" s="22"/>
      <c r="XDE101" s="22"/>
      <c r="XDF101" s="22"/>
      <c r="XDG101" s="22"/>
      <c r="XDH101" s="22"/>
      <c r="XDI101" s="22"/>
      <c r="XDJ101" s="22"/>
      <c r="XDK101" s="22"/>
      <c r="XDL101" s="22"/>
      <c r="XDM101" s="22"/>
      <c r="XDN101" s="22"/>
      <c r="XDO101" s="22"/>
      <c r="XDP101" s="22"/>
      <c r="XDQ101" s="22"/>
      <c r="XDR101" s="22"/>
      <c r="XDS101" s="22"/>
      <c r="XDT101" s="22"/>
      <c r="XDU101" s="22"/>
      <c r="XDV101" s="22"/>
      <c r="XDW101" s="22"/>
      <c r="XDX101" s="22"/>
      <c r="XDY101" s="22"/>
      <c r="XDZ101" s="22"/>
      <c r="XEA101" s="22"/>
      <c r="XEB101" s="22"/>
      <c r="XEC101" s="22"/>
      <c r="XED101" s="22"/>
      <c r="XEE101" s="22"/>
      <c r="XEF101" s="22"/>
      <c r="XEG101" s="22"/>
      <c r="XEH101" s="22"/>
      <c r="XEI101" s="22"/>
      <c r="XEJ101" s="22"/>
      <c r="XEK101" s="22"/>
      <c r="XEL101" s="22"/>
      <c r="XEM101" s="22"/>
      <c r="XEN101" s="22"/>
      <c r="XEO101" s="22"/>
      <c r="XEP101" s="22"/>
      <c r="XEQ101" s="22"/>
      <c r="XER101" s="22"/>
      <c r="XES101" s="22"/>
      <c r="XET101" s="22"/>
      <c r="XEU101" s="22"/>
      <c r="XEV101" s="22"/>
      <c r="XEW101" s="22"/>
      <c r="XEX101" s="22"/>
      <c r="XEY101" s="22"/>
      <c r="XEZ101" s="22"/>
      <c r="XFA101" s="22"/>
      <c r="XFB101" s="22"/>
      <c r="XFC101" s="22"/>
      <c r="XFD101" s="22"/>
    </row>
    <row r="102" spans="1:16384" s="251" customFormat="1" x14ac:dyDescent="0.25">
      <c r="A102" s="124" t="s">
        <v>360</v>
      </c>
      <c r="B102" s="308" t="s">
        <v>86</v>
      </c>
      <c r="C102" s="336" t="s">
        <v>1348</v>
      </c>
      <c r="D102" s="336" t="s">
        <v>380</v>
      </c>
      <c r="E102" s="405" t="s">
        <v>647</v>
      </c>
      <c r="F102" s="286" t="s">
        <v>123</v>
      </c>
      <c r="G102" s="415">
        <f>1.54*39*12/'Average wages'!B24</f>
        <v>4.3878067431503243E-2</v>
      </c>
      <c r="H102" s="405">
        <v>0</v>
      </c>
      <c r="I102" s="378">
        <v>0</v>
      </c>
      <c r="J102" s="318" t="s">
        <v>95</v>
      </c>
      <c r="K102" s="319" t="s">
        <v>459</v>
      </c>
      <c r="L102" s="436" t="s">
        <v>95</v>
      </c>
    </row>
    <row r="103" spans="1:16384" s="22" customFormat="1" ht="69" x14ac:dyDescent="0.25">
      <c r="A103" s="124"/>
      <c r="B103" s="31" t="s">
        <v>86</v>
      </c>
      <c r="C103" s="327" t="s">
        <v>1349</v>
      </c>
      <c r="D103" s="327" t="s">
        <v>376</v>
      </c>
      <c r="E103" s="389" t="s">
        <v>647</v>
      </c>
      <c r="F103" s="244" t="s">
        <v>123</v>
      </c>
      <c r="G103" s="416">
        <f>1.03*39*12/'Average wages'!B24</f>
        <v>2.9347019126265157E-2</v>
      </c>
      <c r="H103" s="389">
        <v>0</v>
      </c>
      <c r="I103" s="423">
        <v>0</v>
      </c>
      <c r="J103" s="320" t="str">
        <f>"For one- and two-child families, net annual income per family member below EUR 3000 ("&amp;TEXT(3000/'Average wages'!B24,"0%")&amp;" of AW); for large families and children with disabilities no income test"</f>
        <v>For one- and two-child families, net annual income per family member below EUR 3000 (18% of AW); for large families and children with disabilities no income test</v>
      </c>
      <c r="K103" s="321" t="s">
        <v>863</v>
      </c>
      <c r="L103" s="437" t="s">
        <v>123</v>
      </c>
    </row>
    <row r="104" spans="1:16384" s="237" customFormat="1" ht="24" x14ac:dyDescent="0.25">
      <c r="A104" s="124" t="s">
        <v>359</v>
      </c>
      <c r="B104" s="365" t="s">
        <v>86</v>
      </c>
      <c r="C104" s="386" t="s">
        <v>648</v>
      </c>
      <c r="D104" s="386" t="s">
        <v>380</v>
      </c>
      <c r="E104" s="388">
        <v>17</v>
      </c>
      <c r="F104" s="77" t="s">
        <v>458</v>
      </c>
      <c r="G104" s="417">
        <f>1.8*39*12/'Average wages'!B24</f>
        <v>5.1286052842016781E-2</v>
      </c>
      <c r="H104" s="388">
        <v>0</v>
      </c>
      <c r="I104" s="387">
        <v>0</v>
      </c>
      <c r="J104" s="388" t="s">
        <v>95</v>
      </c>
      <c r="K104" s="387" t="s">
        <v>459</v>
      </c>
      <c r="L104" s="438" t="s">
        <v>95</v>
      </c>
    </row>
    <row r="105" spans="1:16384" ht="24" x14ac:dyDescent="0.25">
      <c r="A105" s="124" t="s">
        <v>361</v>
      </c>
      <c r="B105" s="221" t="s">
        <v>71</v>
      </c>
      <c r="C105" s="209" t="s">
        <v>681</v>
      </c>
      <c r="D105" s="209" t="s">
        <v>380</v>
      </c>
      <c r="E105" s="398" t="s">
        <v>384</v>
      </c>
      <c r="F105" s="215" t="s">
        <v>123</v>
      </c>
      <c r="G105" s="408">
        <f>12*(265+20) /'Average wages'!$B$25</f>
        <v>5.8924970041768387E-2</v>
      </c>
      <c r="H105" s="398" t="s">
        <v>377</v>
      </c>
      <c r="I105" s="119">
        <v>0</v>
      </c>
      <c r="J105" s="533" t="s">
        <v>95</v>
      </c>
      <c r="K105" s="122" t="s">
        <v>95</v>
      </c>
      <c r="L105" s="112" t="s">
        <v>104</v>
      </c>
    </row>
    <row r="106" spans="1:16384" ht="24" x14ac:dyDescent="0.25">
      <c r="A106" s="124" t="s">
        <v>362</v>
      </c>
      <c r="B106" s="222" t="s">
        <v>71</v>
      </c>
      <c r="C106" s="210" t="s">
        <v>433</v>
      </c>
      <c r="D106" s="210" t="s">
        <v>380</v>
      </c>
      <c r="E106" s="399" t="s">
        <v>384</v>
      </c>
      <c r="F106" s="216" t="s">
        <v>123</v>
      </c>
      <c r="G106" s="409">
        <f>115 /'Average wages'!$B$25</f>
        <v>1.9813951914629722E-3</v>
      </c>
      <c r="H106" s="399" t="s">
        <v>377</v>
      </c>
      <c r="I106" s="127">
        <v>0</v>
      </c>
      <c r="J106" s="535" t="s">
        <v>95</v>
      </c>
      <c r="K106" s="120" t="s">
        <v>95</v>
      </c>
      <c r="L106" s="330" t="s">
        <v>104</v>
      </c>
    </row>
    <row r="107" spans="1:16384" ht="24" x14ac:dyDescent="0.25">
      <c r="A107" s="124" t="s">
        <v>359</v>
      </c>
      <c r="B107" s="222" t="s">
        <v>71</v>
      </c>
      <c r="C107" s="210" t="s">
        <v>680</v>
      </c>
      <c r="D107" s="210" t="s">
        <v>394</v>
      </c>
      <c r="E107" s="399" t="s">
        <v>384</v>
      </c>
      <c r="F107" s="216" t="s">
        <v>416</v>
      </c>
      <c r="G107" s="409">
        <f>600 /'Average wages'!$B$25</f>
        <v>1.0337714042415506E-2</v>
      </c>
      <c r="H107" s="399" t="s">
        <v>377</v>
      </c>
      <c r="I107" s="127" t="s">
        <v>398</v>
      </c>
      <c r="J107" s="535" t="s">
        <v>95</v>
      </c>
      <c r="K107" s="120" t="s">
        <v>95</v>
      </c>
      <c r="L107" s="330" t="s">
        <v>104</v>
      </c>
    </row>
    <row r="108" spans="1:16384" ht="23" x14ac:dyDescent="0.25">
      <c r="A108" s="124" t="s">
        <v>360</v>
      </c>
      <c r="B108" s="222" t="s">
        <v>71</v>
      </c>
      <c r="C108" s="210" t="s">
        <v>422</v>
      </c>
      <c r="D108" s="210" t="s">
        <v>434</v>
      </c>
      <c r="E108" s="399" t="s">
        <v>384</v>
      </c>
      <c r="F108" s="216" t="s">
        <v>416</v>
      </c>
      <c r="G108" s="409" t="s">
        <v>95</v>
      </c>
      <c r="H108" s="399">
        <v>0</v>
      </c>
      <c r="I108" s="121" t="s">
        <v>136</v>
      </c>
      <c r="J108" s="535" t="s">
        <v>95</v>
      </c>
      <c r="K108" s="120" t="s">
        <v>95</v>
      </c>
      <c r="L108" s="330" t="s">
        <v>104</v>
      </c>
    </row>
    <row r="109" spans="1:16384" ht="24" x14ac:dyDescent="0.25">
      <c r="A109" s="124" t="s">
        <v>362</v>
      </c>
      <c r="B109" s="221" t="s">
        <v>72</v>
      </c>
      <c r="C109" s="366" t="s">
        <v>832</v>
      </c>
      <c r="D109" s="209" t="s">
        <v>380</v>
      </c>
      <c r="E109" s="398">
        <v>17</v>
      </c>
      <c r="F109" s="215" t="s">
        <v>123</v>
      </c>
      <c r="G109" s="408">
        <f>267.1*4/'Average wages'!B26</f>
        <v>1.9481110032059105E-2</v>
      </c>
      <c r="H109" s="398" t="s">
        <v>377</v>
      </c>
      <c r="I109" s="119">
        <v>0</v>
      </c>
      <c r="J109" s="533" t="s">
        <v>95</v>
      </c>
      <c r="K109" s="122" t="s">
        <v>95</v>
      </c>
      <c r="L109" s="112" t="s">
        <v>95</v>
      </c>
    </row>
    <row r="110" spans="1:16384" ht="24" x14ac:dyDescent="0.25">
      <c r="A110" s="124" t="s">
        <v>363</v>
      </c>
      <c r="B110" s="222" t="s">
        <v>72</v>
      </c>
      <c r="C110" s="210" t="s">
        <v>833</v>
      </c>
      <c r="D110" s="210" t="s">
        <v>376</v>
      </c>
      <c r="E110" s="399">
        <v>17</v>
      </c>
      <c r="F110" s="216" t="s">
        <v>850</v>
      </c>
      <c r="G110" s="409">
        <f>98.75*12/'Average wages'!B26</f>
        <v>2.1607184002237025E-2</v>
      </c>
      <c r="H110" s="399">
        <v>0</v>
      </c>
      <c r="I110" s="121" t="s">
        <v>398</v>
      </c>
      <c r="J110" s="320" t="str">
        <f>"EUR 21,431 ("&amp;TEXT(100*21431/'Average wages'!B26,0)&amp;"% of AW)"</f>
        <v>EUR 21,431 (39% of AW)</v>
      </c>
      <c r="K110" s="367">
        <v>6.7500000000000004E-2</v>
      </c>
      <c r="L110" s="330" t="s">
        <v>248</v>
      </c>
    </row>
    <row r="111" spans="1:16384" ht="47" x14ac:dyDescent="0.25">
      <c r="A111" s="124" t="s">
        <v>363</v>
      </c>
      <c r="B111" s="222" t="s">
        <v>72</v>
      </c>
      <c r="C111" s="210" t="s">
        <v>834</v>
      </c>
      <c r="D111" s="210" t="s">
        <v>376</v>
      </c>
      <c r="E111" s="399" t="s">
        <v>705</v>
      </c>
      <c r="F111" s="216" t="s">
        <v>850</v>
      </c>
      <c r="G111" s="409">
        <f>25.25*12/'Average wages'!B26</f>
        <v>5.5248748967745304E-3</v>
      </c>
      <c r="H111" s="399">
        <v>0</v>
      </c>
      <c r="I111" s="121" t="s">
        <v>398</v>
      </c>
      <c r="J111" s="320" t="str">
        <f>J110</f>
        <v>EUR 21,431 (39% of AW)</v>
      </c>
      <c r="K111" s="367">
        <v>6.7500000000000004E-2</v>
      </c>
      <c r="L111" s="330" t="s">
        <v>248</v>
      </c>
    </row>
    <row r="112" spans="1:16384" ht="35.5" x14ac:dyDescent="0.25">
      <c r="A112" s="124" t="s">
        <v>363</v>
      </c>
      <c r="B112" s="222" t="s">
        <v>72</v>
      </c>
      <c r="C112" s="210" t="s">
        <v>835</v>
      </c>
      <c r="D112" s="210" t="s">
        <v>376</v>
      </c>
      <c r="E112" s="399">
        <v>17</v>
      </c>
      <c r="F112" s="216" t="s">
        <v>851</v>
      </c>
      <c r="G112" s="409">
        <f>3190/'Average wages'!B26</f>
        <v>5.8166174655811066E-2</v>
      </c>
      <c r="H112" s="399">
        <v>0</v>
      </c>
      <c r="I112" s="121" t="s">
        <v>398</v>
      </c>
      <c r="J112" s="320" t="str">
        <f>J110</f>
        <v>EUR 21,431 (39% of AW)</v>
      </c>
      <c r="K112" s="367">
        <v>6.7500000000000004E-2</v>
      </c>
      <c r="L112" s="330" t="s">
        <v>248</v>
      </c>
    </row>
    <row r="113" spans="1:12" ht="23" x14ac:dyDescent="0.25">
      <c r="A113" s="124" t="s">
        <v>359</v>
      </c>
      <c r="B113" s="222" t="s">
        <v>72</v>
      </c>
      <c r="C113" s="210" t="s">
        <v>707</v>
      </c>
      <c r="D113" s="338" t="s">
        <v>394</v>
      </c>
      <c r="E113" s="389">
        <v>11</v>
      </c>
      <c r="F113" s="368" t="str">
        <f>"Employed with taxable income above EUR 5072  ("&amp;TEXT(100*5072/'Average wages'!B26,0)&amp;"% of AW)"</f>
        <v>Employed with taxable income above EUR 5072  (9% of AW)</v>
      </c>
      <c r="G113" s="416">
        <f>2881/'Average wages'!B26</f>
        <v>5.2531896295734064E-2</v>
      </c>
      <c r="H113" s="389">
        <v>0</v>
      </c>
      <c r="I113" s="333" t="s">
        <v>136</v>
      </c>
      <c r="J113" s="320" t="s">
        <v>95</v>
      </c>
      <c r="K113" s="321" t="s">
        <v>95</v>
      </c>
      <c r="L113" s="330" t="s">
        <v>95</v>
      </c>
    </row>
    <row r="114" spans="1:12" x14ac:dyDescent="0.25">
      <c r="A114" s="124" t="s">
        <v>361</v>
      </c>
      <c r="B114" s="224" t="s">
        <v>187</v>
      </c>
      <c r="C114" s="669" t="s">
        <v>1447</v>
      </c>
      <c r="D114" s="209"/>
      <c r="E114" s="398"/>
      <c r="F114" s="215"/>
      <c r="G114" s="408"/>
      <c r="H114" s="398"/>
      <c r="I114" s="194"/>
      <c r="J114" s="533"/>
      <c r="K114" s="568"/>
      <c r="L114" s="112"/>
    </row>
    <row r="115" spans="1:12" x14ac:dyDescent="0.25">
      <c r="A115" s="124" t="s">
        <v>362</v>
      </c>
      <c r="B115" s="225" t="s">
        <v>187</v>
      </c>
      <c r="C115" s="566" t="s">
        <v>1447</v>
      </c>
      <c r="D115" s="210"/>
      <c r="E115" s="399"/>
      <c r="F115" s="216"/>
      <c r="G115" s="409"/>
      <c r="H115" s="399"/>
      <c r="I115" s="121"/>
      <c r="J115" s="535"/>
      <c r="K115" s="120"/>
      <c r="L115" s="330"/>
    </row>
    <row r="116" spans="1:12" x14ac:dyDescent="0.25">
      <c r="A116" s="124" t="s">
        <v>359</v>
      </c>
      <c r="B116" s="225" t="s">
        <v>187</v>
      </c>
      <c r="C116" s="566" t="s">
        <v>1447</v>
      </c>
      <c r="D116" s="210"/>
      <c r="E116" s="399"/>
      <c r="F116" s="216"/>
      <c r="G116" s="409"/>
      <c r="H116" s="399"/>
      <c r="I116" s="121"/>
      <c r="J116" s="535"/>
      <c r="K116" s="569"/>
      <c r="L116" s="330"/>
    </row>
    <row r="117" spans="1:12" x14ac:dyDescent="0.25">
      <c r="A117" s="124" t="s">
        <v>362</v>
      </c>
      <c r="B117" s="225" t="s">
        <v>187</v>
      </c>
      <c r="C117" s="566" t="s">
        <v>1447</v>
      </c>
      <c r="D117" s="210"/>
      <c r="E117" s="399"/>
      <c r="F117" s="216"/>
      <c r="G117" s="409"/>
      <c r="H117" s="399"/>
      <c r="I117" s="127"/>
      <c r="J117" s="535"/>
      <c r="K117" s="120"/>
      <c r="L117" s="330"/>
    </row>
    <row r="118" spans="1:12" x14ac:dyDescent="0.25">
      <c r="A118" s="124" t="s">
        <v>363</v>
      </c>
      <c r="B118" s="221" t="s">
        <v>73</v>
      </c>
      <c r="C118" s="209" t="s">
        <v>713</v>
      </c>
      <c r="D118" s="209" t="s">
        <v>380</v>
      </c>
      <c r="E118" s="398">
        <v>17</v>
      </c>
      <c r="F118" s="215" t="s">
        <v>123</v>
      </c>
      <c r="G118" s="408">
        <f>12648/'Average wages'!B28</f>
        <v>2.0160364506664905E-2</v>
      </c>
      <c r="H118" s="398">
        <v>0</v>
      </c>
      <c r="I118" s="119">
        <v>0</v>
      </c>
      <c r="J118" s="533" t="s">
        <v>95</v>
      </c>
      <c r="K118" s="122" t="s">
        <v>95</v>
      </c>
      <c r="L118" s="112" t="s">
        <v>104</v>
      </c>
    </row>
    <row r="119" spans="1:12" ht="34.5" x14ac:dyDescent="0.25">
      <c r="A119" s="124" t="s">
        <v>367</v>
      </c>
      <c r="B119" s="79" t="s">
        <v>73</v>
      </c>
      <c r="C119" s="210" t="s">
        <v>716</v>
      </c>
      <c r="D119" s="210" t="s">
        <v>380</v>
      </c>
      <c r="E119" s="399">
        <v>17</v>
      </c>
      <c r="F119" s="216" t="s">
        <v>416</v>
      </c>
      <c r="G119" s="409" t="str">
        <f>CONCATENATE(LEFT(100*(12648)/'Average wages'!B28,3),"% on the top of the child benefit (barnetrygd)")</f>
        <v>2.0% on the top of the child benefit (barnetrygd)</v>
      </c>
      <c r="H119" s="399">
        <v>0</v>
      </c>
      <c r="I119" s="121" t="s">
        <v>136</v>
      </c>
      <c r="J119" s="535" t="s">
        <v>95</v>
      </c>
      <c r="K119" s="120" t="s">
        <v>95</v>
      </c>
      <c r="L119" s="330" t="s">
        <v>104</v>
      </c>
    </row>
    <row r="120" spans="1:12" ht="46" x14ac:dyDescent="0.25">
      <c r="A120" s="124" t="s">
        <v>368</v>
      </c>
      <c r="B120" s="79" t="s">
        <v>73</v>
      </c>
      <c r="C120" s="210" t="s">
        <v>715</v>
      </c>
      <c r="D120" s="210" t="s">
        <v>376</v>
      </c>
      <c r="E120" s="399">
        <v>2</v>
      </c>
      <c r="F120" s="216" t="s">
        <v>714</v>
      </c>
      <c r="G120" s="409" t="str">
        <f>CONCATENATE(LEFT(100*(7920)/'Average wages'!B28,3),"% on the top of the child benefit (barnetrygd) for lone parents")</f>
        <v>1.2% on the top of the child benefit (barnetrygd) for lone parents</v>
      </c>
      <c r="H120" s="399">
        <v>0</v>
      </c>
      <c r="I120" s="121" t="s">
        <v>136</v>
      </c>
      <c r="J120" s="535" t="str">
        <f>"NOK 49,929 ("&amp;TEXT(100*49929/'Average wages'!B28,0)&amp;"% of AW; the threshold for Transitional benefit for lone parents)"</f>
        <v>NOK 49,929 (8% of AW; the threshold for Transitional benefit for lone parents)</v>
      </c>
      <c r="K120" s="120" t="s">
        <v>862</v>
      </c>
      <c r="L120" s="330" t="s">
        <v>104</v>
      </c>
    </row>
    <row r="121" spans="1:12" ht="23.5" x14ac:dyDescent="0.25">
      <c r="A121" s="555" t="s">
        <v>370</v>
      </c>
      <c r="B121" s="79" t="s">
        <v>73</v>
      </c>
      <c r="C121" s="210" t="s">
        <v>717</v>
      </c>
      <c r="D121" s="210" t="s">
        <v>376</v>
      </c>
      <c r="E121" s="399">
        <v>7</v>
      </c>
      <c r="F121" s="216" t="s">
        <v>1115</v>
      </c>
      <c r="G121" s="418">
        <f>224681/'Average wages'!B28</f>
        <v>0.35813178824493813</v>
      </c>
      <c r="H121" s="399">
        <v>0</v>
      </c>
      <c r="I121" s="121" t="s">
        <v>136</v>
      </c>
      <c r="J121" s="535" t="str">
        <f>"NOK 49,929 ("&amp;TEXT(100*49929/'Average wages'!B28,0)&amp;"% of AW)"</f>
        <v>NOK 49,929 (8% of AW)</v>
      </c>
      <c r="K121" s="120">
        <v>0.45</v>
      </c>
      <c r="L121" s="330" t="s">
        <v>104</v>
      </c>
    </row>
    <row r="122" spans="1:12" ht="34.5" x14ac:dyDescent="0.25">
      <c r="A122" s="317" t="s">
        <v>359</v>
      </c>
      <c r="B122" s="79" t="s">
        <v>73</v>
      </c>
      <c r="C122" s="210" t="s">
        <v>718</v>
      </c>
      <c r="D122" s="210" t="s">
        <v>376</v>
      </c>
      <c r="E122" s="399">
        <v>17</v>
      </c>
      <c r="F122" s="216" t="s">
        <v>852</v>
      </c>
      <c r="G122" s="409">
        <f>1640*12/'Average wages'!B28</f>
        <v>3.1369068112837233E-2</v>
      </c>
      <c r="H122" s="399">
        <v>0</v>
      </c>
      <c r="I122" s="127">
        <v>0</v>
      </c>
      <c r="J122" s="535" t="str">
        <f>"NOK 277,600 ("&amp;TEXT(100*277600/'Average wages'!B28,0)&amp;"% of AW)"</f>
        <v>NOK 277,600 (44% of AW)</v>
      </c>
      <c r="K122" s="120" t="str">
        <f>"Withdrawn in three steps, fully withdrawn at NOK 524,800 ("&amp;TEXT(100*524800/'Average wages'!B28,0)&amp;"% of AW)"</f>
        <v>Withdrawn in three steps, fully withdrawn at NOK 524,800 (84% of AW)</v>
      </c>
      <c r="L122" s="330" t="s">
        <v>104</v>
      </c>
    </row>
    <row r="123" spans="1:12" ht="23.5" x14ac:dyDescent="0.25">
      <c r="A123" s="317" t="s">
        <v>359</v>
      </c>
      <c r="B123" s="79" t="s">
        <v>73</v>
      </c>
      <c r="C123" s="210" t="s">
        <v>719</v>
      </c>
      <c r="D123" s="210" t="s">
        <v>376</v>
      </c>
      <c r="E123" s="399" t="s">
        <v>720</v>
      </c>
      <c r="F123" s="216" t="s">
        <v>1116</v>
      </c>
      <c r="G123" s="409">
        <f>7500*12/'Average wages'!B28</f>
        <v>0.14345610417456053</v>
      </c>
      <c r="H123" s="399">
        <v>0</v>
      </c>
      <c r="I123" s="127">
        <v>0</v>
      </c>
      <c r="J123" s="535" t="s">
        <v>95</v>
      </c>
      <c r="K123" s="120" t="s">
        <v>95</v>
      </c>
      <c r="L123" s="330" t="s">
        <v>104</v>
      </c>
    </row>
    <row r="124" spans="1:12" ht="24" x14ac:dyDescent="0.25">
      <c r="A124" s="317" t="s">
        <v>360</v>
      </c>
      <c r="B124" s="79" t="s">
        <v>73</v>
      </c>
      <c r="C124" s="210" t="s">
        <v>721</v>
      </c>
      <c r="D124" s="210" t="s">
        <v>432</v>
      </c>
      <c r="E124" s="399" t="s">
        <v>104</v>
      </c>
      <c r="F124" s="216" t="s">
        <v>416</v>
      </c>
      <c r="G124" s="418">
        <f>51804/'Average wages'!B28</f>
        <v>8.2573333562877035E-2</v>
      </c>
      <c r="H124" s="399">
        <v>0</v>
      </c>
      <c r="I124" s="121" t="s">
        <v>136</v>
      </c>
      <c r="J124" s="535" t="s">
        <v>95</v>
      </c>
      <c r="K124" s="120" t="s">
        <v>95</v>
      </c>
      <c r="L124" s="330" t="s">
        <v>104</v>
      </c>
    </row>
    <row r="125" spans="1:12" ht="23" x14ac:dyDescent="0.25">
      <c r="A125" s="317"/>
      <c r="B125" s="222" t="s">
        <v>73</v>
      </c>
      <c r="C125" s="210" t="s">
        <v>1117</v>
      </c>
      <c r="D125" s="210" t="s">
        <v>432</v>
      </c>
      <c r="E125" s="399">
        <v>11</v>
      </c>
      <c r="F125" s="216" t="s">
        <v>123</v>
      </c>
      <c r="G125" s="418">
        <f>25000/'Average wages'!B28</f>
        <v>3.984891782626681E-2</v>
      </c>
      <c r="H125" s="399">
        <v>0</v>
      </c>
      <c r="I125" s="121" t="s">
        <v>1118</v>
      </c>
      <c r="J125" s="535" t="s">
        <v>95</v>
      </c>
      <c r="K125" s="120" t="s">
        <v>95</v>
      </c>
      <c r="L125" s="330" t="s">
        <v>104</v>
      </c>
    </row>
    <row r="126" spans="1:12" s="251" customFormat="1" ht="23" x14ac:dyDescent="0.25">
      <c r="A126" s="317" t="s">
        <v>361</v>
      </c>
      <c r="B126" s="369" t="s">
        <v>244</v>
      </c>
      <c r="C126" s="336" t="s">
        <v>1350</v>
      </c>
      <c r="D126" s="336" t="s">
        <v>376</v>
      </c>
      <c r="E126" s="405" t="s">
        <v>428</v>
      </c>
      <c r="F126" s="286" t="s">
        <v>123</v>
      </c>
      <c r="G126" s="415">
        <f>124*12/'Average wages'!B29</f>
        <v>2.4427596164423658E-2</v>
      </c>
      <c r="H126" s="405" t="s">
        <v>377</v>
      </c>
      <c r="I126" s="378" t="s">
        <v>659</v>
      </c>
      <c r="J126" s="318" t="str">
        <f>"PLN 8,088 of net income ("&amp;TEXT(8088/'Average wages'!B29,"0%")&amp;" of AW) per family member"</f>
        <v>PLN 8,088 of net income (13% of AW) per family member</v>
      </c>
      <c r="K126" s="319">
        <v>1</v>
      </c>
      <c r="L126" s="436" t="s">
        <v>104</v>
      </c>
    </row>
    <row r="127" spans="1:12" s="22" customFormat="1" ht="24" x14ac:dyDescent="0.25">
      <c r="A127" s="124" t="s">
        <v>359</v>
      </c>
      <c r="B127" s="370" t="s">
        <v>244</v>
      </c>
      <c r="C127" s="327" t="s">
        <v>479</v>
      </c>
      <c r="D127" s="327" t="s">
        <v>376</v>
      </c>
      <c r="E127" s="389" t="s">
        <v>428</v>
      </c>
      <c r="F127" s="244" t="s">
        <v>416</v>
      </c>
      <c r="G127" s="416">
        <f>193*12/'Average wages'!B29</f>
        <v>3.8020371449465851E-2</v>
      </c>
      <c r="H127" s="389">
        <v>0</v>
      </c>
      <c r="I127" s="423" t="s">
        <v>1351</v>
      </c>
      <c r="J127" s="320" t="str">
        <f>"PLN 8,088 of net income ("&amp;TEXT(8088/'Average wages'!B29,"0%")&amp;" of AW) per family member"</f>
        <v>PLN 8,088 of net income (13% of AW) per family member</v>
      </c>
      <c r="K127" s="321">
        <v>1</v>
      </c>
      <c r="L127" s="437" t="s">
        <v>104</v>
      </c>
    </row>
    <row r="128" spans="1:12" s="22" customFormat="1" ht="24" x14ac:dyDescent="0.25">
      <c r="A128" s="124"/>
      <c r="B128" s="370" t="s">
        <v>244</v>
      </c>
      <c r="C128" s="327" t="s">
        <v>1352</v>
      </c>
      <c r="D128" s="327" t="s">
        <v>376</v>
      </c>
      <c r="E128" s="389" t="s">
        <v>428</v>
      </c>
      <c r="F128" s="244" t="s">
        <v>1353</v>
      </c>
      <c r="G128" s="416">
        <f>95*12/'Average wages'!B29</f>
        <v>1.8714690609840705E-2</v>
      </c>
      <c r="H128" s="389">
        <v>0</v>
      </c>
      <c r="I128" s="423">
        <v>0</v>
      </c>
      <c r="J128" s="320" t="str">
        <f>"PLN 8,088 of net income ("&amp;TEXT(8088/'Average wages'!B29,"0%")&amp;" of AW) per family member"</f>
        <v>PLN 8,088 of net income (13% of AW) per family member</v>
      </c>
      <c r="K128" s="321">
        <v>1</v>
      </c>
      <c r="L128" s="437" t="s">
        <v>104</v>
      </c>
    </row>
    <row r="129" spans="1:12" s="22" customFormat="1" ht="23.5" x14ac:dyDescent="0.25">
      <c r="A129" s="124"/>
      <c r="B129" s="370" t="s">
        <v>244</v>
      </c>
      <c r="C129" s="327" t="s">
        <v>1354</v>
      </c>
      <c r="D129" s="327" t="s">
        <v>376</v>
      </c>
      <c r="E129" s="389" t="s">
        <v>428</v>
      </c>
      <c r="F129" s="244" t="s">
        <v>1355</v>
      </c>
      <c r="G129" s="416">
        <f>100/'Average wages'!B29</f>
        <v>1.6416395271790093E-3</v>
      </c>
      <c r="H129" s="389">
        <v>0</v>
      </c>
      <c r="I129" s="423">
        <v>0</v>
      </c>
      <c r="J129" s="320" t="str">
        <f>"PLN 8,088 of net income ("&amp;TEXT(8088/'Average wages'!B29,"0%")&amp;" of AW) per family member"</f>
        <v>PLN 8,088 of net income (13% of AW) per family member</v>
      </c>
      <c r="K129" s="321">
        <v>1</v>
      </c>
      <c r="L129" s="437"/>
    </row>
    <row r="130" spans="1:12" s="22" customFormat="1" ht="24" x14ac:dyDescent="0.25">
      <c r="A130" s="124"/>
      <c r="B130" s="370" t="s">
        <v>244</v>
      </c>
      <c r="C130" s="327" t="s">
        <v>1356</v>
      </c>
      <c r="D130" s="327" t="s">
        <v>376</v>
      </c>
      <c r="E130" s="389">
        <v>2</v>
      </c>
      <c r="F130" s="244" t="s">
        <v>123</v>
      </c>
      <c r="G130" s="416">
        <f>400*12/'Average wages'!B29</f>
        <v>7.8798697304592435E-2</v>
      </c>
      <c r="H130" s="389">
        <v>0</v>
      </c>
      <c r="I130" s="423">
        <v>0</v>
      </c>
      <c r="J130" s="320" t="str">
        <f>"PLN 8,088 of net income ("&amp;TEXT(8088/'Average wages'!B29,"0%")&amp;" of AW) per family member"</f>
        <v>PLN 8,088 of net income (13% of AW) per family member</v>
      </c>
      <c r="K130" s="321">
        <v>1</v>
      </c>
      <c r="L130" s="437"/>
    </row>
    <row r="131" spans="1:12" s="22" customFormat="1" ht="36" x14ac:dyDescent="0.25">
      <c r="A131" s="124"/>
      <c r="B131" s="370" t="s">
        <v>244</v>
      </c>
      <c r="C131" s="327" t="s">
        <v>1357</v>
      </c>
      <c r="D131" s="327" t="s">
        <v>380</v>
      </c>
      <c r="E131" s="389">
        <v>17</v>
      </c>
      <c r="F131" s="244" t="s">
        <v>123</v>
      </c>
      <c r="G131" s="416">
        <f>500*12/'Average wages'!B29</f>
        <v>9.8498371630740558E-2</v>
      </c>
      <c r="H131" s="389">
        <v>0</v>
      </c>
      <c r="I131" s="423">
        <v>0</v>
      </c>
      <c r="J131" s="320" t="s">
        <v>95</v>
      </c>
      <c r="K131" s="321" t="s">
        <v>459</v>
      </c>
      <c r="L131" s="437" t="s">
        <v>95</v>
      </c>
    </row>
    <row r="132" spans="1:12" s="22" customFormat="1" x14ac:dyDescent="0.25">
      <c r="A132" s="124"/>
      <c r="B132" s="370" t="s">
        <v>244</v>
      </c>
      <c r="C132" s="327" t="s">
        <v>1358</v>
      </c>
      <c r="D132" s="327" t="s">
        <v>380</v>
      </c>
      <c r="E132" s="389">
        <v>20</v>
      </c>
      <c r="F132" s="244" t="s">
        <v>1355</v>
      </c>
      <c r="G132" s="416">
        <f>300/'Average wages'!B29</f>
        <v>4.9249185815370272E-3</v>
      </c>
      <c r="H132" s="389">
        <v>0</v>
      </c>
      <c r="I132" s="423">
        <v>0</v>
      </c>
      <c r="J132" s="320" t="s">
        <v>95</v>
      </c>
      <c r="K132" s="321" t="s">
        <v>459</v>
      </c>
      <c r="L132" s="437" t="s">
        <v>95</v>
      </c>
    </row>
    <row r="133" spans="1:12" s="237" customFormat="1" ht="46" x14ac:dyDescent="0.25">
      <c r="A133" s="124" t="s">
        <v>360</v>
      </c>
      <c r="B133" s="371" t="s">
        <v>244</v>
      </c>
      <c r="C133" s="327" t="s">
        <v>1359</v>
      </c>
      <c r="D133" s="327" t="s">
        <v>376</v>
      </c>
      <c r="E133" s="389" t="s">
        <v>104</v>
      </c>
      <c r="F133" s="244" t="s">
        <v>498</v>
      </c>
      <c r="G133" s="417">
        <f>1112.04/'Average wages'!B29</f>
        <v>1.8255688198041454E-2</v>
      </c>
      <c r="H133" s="389">
        <v>0</v>
      </c>
      <c r="I133" s="423" t="s">
        <v>1360</v>
      </c>
      <c r="J133" s="320" t="str">
        <f>"For one child taxable income below PLN 112,000 ("&amp;TEXT(112000/'Average wages'!B36,"0%")&amp;" of AW); no income limit for more children"</f>
        <v>For one child taxable income below PLN 112,000 (150% of AW); no income limit for more children</v>
      </c>
      <c r="K133" s="321" t="s">
        <v>1361</v>
      </c>
      <c r="L133" s="437" t="s">
        <v>123</v>
      </c>
    </row>
    <row r="134" spans="1:12" ht="57.5" x14ac:dyDescent="0.25">
      <c r="A134" s="124" t="s">
        <v>361</v>
      </c>
      <c r="B134" s="325" t="s">
        <v>74</v>
      </c>
      <c r="C134" s="69" t="s">
        <v>435</v>
      </c>
      <c r="D134" s="69" t="s">
        <v>376</v>
      </c>
      <c r="E134" s="398" t="s">
        <v>445</v>
      </c>
      <c r="F134" s="73" t="s">
        <v>123</v>
      </c>
      <c r="G134" s="408">
        <f>49.95*12/'Average wages'!B30</f>
        <v>3.0773563664098974E-2</v>
      </c>
      <c r="H134" s="398" t="s">
        <v>398</v>
      </c>
      <c r="I134" s="194" t="s">
        <v>1190</v>
      </c>
      <c r="J134" s="533" t="s">
        <v>1191</v>
      </c>
      <c r="K134" s="122" t="str">
        <f>"Withdrawn in steps (according to income brackets). For a couple household with 2 children the benefit is completely withdrawn at gross earnings of approx. EUR 46 000 ("&amp;TEXT(46000/'Average wages'!B30,0)&amp;"% of AW) "</f>
        <v xml:space="preserve">Withdrawn in steps (according to income brackets). For a couple household with 2 children the benefit is completely withdrawn at gross earnings of approx. EUR 46 000 (2% of AW) </v>
      </c>
      <c r="L134" s="112" t="s">
        <v>248</v>
      </c>
    </row>
    <row r="135" spans="1:12" ht="35.5" x14ac:dyDescent="0.25">
      <c r="A135" s="124" t="s">
        <v>360</v>
      </c>
      <c r="B135" s="130" t="s">
        <v>74</v>
      </c>
      <c r="C135" s="326" t="s">
        <v>593</v>
      </c>
      <c r="D135" s="326" t="s">
        <v>376</v>
      </c>
      <c r="E135" s="399" t="s">
        <v>594</v>
      </c>
      <c r="F135" s="191" t="s">
        <v>123</v>
      </c>
      <c r="G135" s="409">
        <f>37.46/'Average wages'!B30</f>
        <v>1.9232193774727183E-3</v>
      </c>
      <c r="H135" s="399">
        <v>0</v>
      </c>
      <c r="I135" s="127">
        <v>0</v>
      </c>
      <c r="J135" s="535" t="str">
        <f>J134</f>
        <v>No (the benefit is tested against all households income, including gross earnings and other benefits)</v>
      </c>
      <c r="K135" s="120" t="s">
        <v>1192</v>
      </c>
      <c r="L135" s="330" t="s">
        <v>248</v>
      </c>
    </row>
    <row r="136" spans="1:12" ht="57.5" x14ac:dyDescent="0.25">
      <c r="A136" s="124" t="s">
        <v>362</v>
      </c>
      <c r="B136" s="130" t="s">
        <v>74</v>
      </c>
      <c r="C136" s="326" t="s">
        <v>436</v>
      </c>
      <c r="D136" s="326" t="s">
        <v>376</v>
      </c>
      <c r="E136" s="399" t="s">
        <v>445</v>
      </c>
      <c r="F136" s="191" t="s">
        <v>416</v>
      </c>
      <c r="G136" s="410">
        <f>49.95*12*0.35/'Average wages'!B30</f>
        <v>1.0770747282434641E-2</v>
      </c>
      <c r="H136" s="399" t="s">
        <v>398</v>
      </c>
      <c r="I136" s="127">
        <v>0</v>
      </c>
      <c r="J136" s="535" t="str">
        <f>J134</f>
        <v>No (the benefit is tested against all households income, including gross earnings and other benefits)</v>
      </c>
      <c r="K136" s="120" t="str">
        <f>"Withdrawn in steps (according to income brackets). For a lone parent with 2 children the benefit is completely withdrawn at gross earnings of approx. EUR 46 000 ("&amp;TEXT(46000/'Average wages'!B30,0)&amp;"% of AW) "</f>
        <v xml:space="preserve">Withdrawn in steps (according to income brackets). For a lone parent with 2 children the benefit is completely withdrawn at gross earnings of approx. EUR 46 000 (2% of AW) </v>
      </c>
      <c r="L136" s="330" t="s">
        <v>248</v>
      </c>
    </row>
    <row r="137" spans="1:12" ht="23" x14ac:dyDescent="0.25">
      <c r="A137" s="124"/>
      <c r="B137" s="255" t="s">
        <v>74</v>
      </c>
      <c r="C137" s="328" t="s">
        <v>429</v>
      </c>
      <c r="D137" s="328" t="s">
        <v>1193</v>
      </c>
      <c r="E137" s="400" t="s">
        <v>381</v>
      </c>
      <c r="F137" s="232" t="s">
        <v>1194</v>
      </c>
      <c r="G137" s="419">
        <f>600/'Average wages'!B30</f>
        <v>3.0804368032131099E-2</v>
      </c>
      <c r="H137" s="400" t="s">
        <v>398</v>
      </c>
      <c r="I137" s="129" t="str">
        <f>"+ for additonal children under three years old"</f>
        <v>+ for additonal children under three years old</v>
      </c>
      <c r="J137" s="523" t="s">
        <v>95</v>
      </c>
      <c r="K137" s="524" t="s">
        <v>95</v>
      </c>
      <c r="L137" s="332" t="s">
        <v>95</v>
      </c>
    </row>
    <row r="138" spans="1:12" s="373" customFormat="1" x14ac:dyDescent="0.25">
      <c r="A138" s="372" t="s">
        <v>359</v>
      </c>
      <c r="B138" s="221" t="s">
        <v>75</v>
      </c>
      <c r="C138" s="341" t="s">
        <v>437</v>
      </c>
      <c r="D138" s="341" t="s">
        <v>380</v>
      </c>
      <c r="E138" s="402" t="s">
        <v>1119</v>
      </c>
      <c r="F138" s="342" t="s">
        <v>123</v>
      </c>
      <c r="G138" s="412">
        <f>24.95*12/'Average wages'!B31</f>
        <v>2.268129106591164E-2</v>
      </c>
      <c r="H138" s="402">
        <v>0</v>
      </c>
      <c r="I138" s="343">
        <v>0</v>
      </c>
      <c r="J138" s="344" t="s">
        <v>95</v>
      </c>
      <c r="K138" s="345" t="s">
        <v>95</v>
      </c>
      <c r="L138" s="439" t="s">
        <v>104</v>
      </c>
    </row>
    <row r="139" spans="1:12" s="373" customFormat="1" ht="34.5" x14ac:dyDescent="0.25">
      <c r="A139" s="372" t="s">
        <v>360</v>
      </c>
      <c r="B139" s="79" t="s">
        <v>75</v>
      </c>
      <c r="C139" s="348" t="s">
        <v>429</v>
      </c>
      <c r="D139" s="348" t="s">
        <v>438</v>
      </c>
      <c r="E139" s="403" t="s">
        <v>104</v>
      </c>
      <c r="F139" s="347" t="str">
        <f>"Earnings of at least 6 times the MW ("&amp;TEXT(100*580*6/'Average wages'!B31,0)&amp;"% of AW)"</f>
        <v>Earnings of at least 6 times the MW (26% of AW)</v>
      </c>
      <c r="G139" s="413">
        <f>545.28/'Average wages'!B31</f>
        <v>4.1308130903207417E-2</v>
      </c>
      <c r="H139" s="424" t="s">
        <v>1120</v>
      </c>
      <c r="I139" s="357">
        <v>0</v>
      </c>
      <c r="J139" s="355" t="s">
        <v>95</v>
      </c>
      <c r="K139" s="351" t="s">
        <v>95</v>
      </c>
      <c r="L139" s="434" t="s">
        <v>104</v>
      </c>
    </row>
    <row r="140" spans="1:12" s="373" customFormat="1" ht="24" x14ac:dyDescent="0.25">
      <c r="A140" s="372" t="s">
        <v>361</v>
      </c>
      <c r="B140" s="222" t="s">
        <v>75</v>
      </c>
      <c r="C140" s="359" t="s">
        <v>1121</v>
      </c>
      <c r="D140" s="359" t="s">
        <v>376</v>
      </c>
      <c r="E140" s="404" t="s">
        <v>1119</v>
      </c>
      <c r="F140" s="360" t="s">
        <v>853</v>
      </c>
      <c r="G140" s="414">
        <f>355.05*12/'Average wages'!B31</f>
        <v>0.32276522617041803</v>
      </c>
      <c r="H140" s="404">
        <v>0</v>
      </c>
      <c r="I140" s="361">
        <v>0</v>
      </c>
      <c r="J140" s="362" t="s">
        <v>1122</v>
      </c>
      <c r="K140" s="363" t="s">
        <v>862</v>
      </c>
      <c r="L140" s="435" t="s">
        <v>104</v>
      </c>
    </row>
    <row r="141" spans="1:12" s="373" customFormat="1" ht="46" x14ac:dyDescent="0.25">
      <c r="A141" s="372" t="s">
        <v>362</v>
      </c>
      <c r="B141" s="221" t="s">
        <v>76</v>
      </c>
      <c r="C141" s="341" t="s">
        <v>439</v>
      </c>
      <c r="D141" s="341" t="s">
        <v>376</v>
      </c>
      <c r="E141" s="402">
        <v>17</v>
      </c>
      <c r="F141" s="342" t="s">
        <v>123</v>
      </c>
      <c r="G141" s="412">
        <f>117.05*12/'Average wages'!B32</f>
        <v>6.8770927043575306E-2</v>
      </c>
      <c r="H141" s="402" t="s">
        <v>1123</v>
      </c>
      <c r="I141" s="374" t="s">
        <v>591</v>
      </c>
      <c r="J141" s="344" t="str">
        <f>"EUR 188.02/month of income per family member ("&amp;TEXT(100*188.02*12/'Average wages'!B32,0)&amp;"% of AW)"</f>
        <v>EUR 188.02/month of income per family member (11% of AW)</v>
      </c>
      <c r="K141" s="345" t="str">
        <f>"Benefit withdrawn in six steps, fully withdrawn when income per family member exceeds EUR 1034.14/month ("&amp;TEXT(100*1034.14*12/'Average wages'!B32,0)&amp;"% of AW)"</f>
        <v>Benefit withdrawn in six steps, fully withdrawn when income per family member exceeds EUR 1034.14/month (61% of AW)</v>
      </c>
      <c r="L141" s="439" t="s">
        <v>104</v>
      </c>
    </row>
    <row r="142" spans="1:12" s="373" customFormat="1" ht="24" x14ac:dyDescent="0.25">
      <c r="A142" s="372" t="s">
        <v>363</v>
      </c>
      <c r="B142" s="79" t="s">
        <v>76</v>
      </c>
      <c r="C142" s="348" t="s">
        <v>440</v>
      </c>
      <c r="D142" s="348" t="s">
        <v>376</v>
      </c>
      <c r="E142" s="403" t="s">
        <v>104</v>
      </c>
      <c r="F142" s="347" t="s">
        <v>842</v>
      </c>
      <c r="G142" s="413">
        <f>404.38/3*12/'Average wages'!B32</f>
        <v>7.9195749616633879E-2</v>
      </c>
      <c r="H142" s="403">
        <v>0</v>
      </c>
      <c r="I142" s="349" t="s">
        <v>589</v>
      </c>
      <c r="J142" s="355" t="s">
        <v>95</v>
      </c>
      <c r="K142" s="351" t="s">
        <v>862</v>
      </c>
      <c r="L142" s="434" t="s">
        <v>104</v>
      </c>
    </row>
    <row r="143" spans="1:12" s="373" customFormat="1" ht="23" x14ac:dyDescent="0.25">
      <c r="A143" s="372" t="s">
        <v>359</v>
      </c>
      <c r="B143" s="79" t="s">
        <v>76</v>
      </c>
      <c r="C143" s="348" t="s">
        <v>441</v>
      </c>
      <c r="D143" s="348" t="s">
        <v>432</v>
      </c>
      <c r="E143" s="403" t="s">
        <v>104</v>
      </c>
      <c r="F143" s="347" t="s">
        <v>123</v>
      </c>
      <c r="G143" s="413">
        <f>2436.92/'Average wages'!B32</f>
        <v>0.11931457178629472</v>
      </c>
      <c r="H143" s="403">
        <v>0</v>
      </c>
      <c r="I143" s="349" t="s">
        <v>590</v>
      </c>
      <c r="J143" s="355" t="s">
        <v>95</v>
      </c>
      <c r="K143" s="351" t="s">
        <v>95</v>
      </c>
      <c r="L143" s="434" t="s">
        <v>95</v>
      </c>
    </row>
    <row r="144" spans="1:12" s="373" customFormat="1" ht="24" x14ac:dyDescent="0.25">
      <c r="A144" s="372" t="s">
        <v>360</v>
      </c>
      <c r="B144" s="79" t="s">
        <v>76</v>
      </c>
      <c r="C144" s="348" t="s">
        <v>442</v>
      </c>
      <c r="D144" s="348" t="s">
        <v>376</v>
      </c>
      <c r="E144" s="403" t="s">
        <v>104</v>
      </c>
      <c r="F144" s="347" t="s">
        <v>416</v>
      </c>
      <c r="G144" s="413">
        <f>402.18*0.18*12/'Average wages'!B32</f>
        <v>4.2533041084231706E-2</v>
      </c>
      <c r="H144" s="403">
        <v>0</v>
      </c>
      <c r="I144" s="357">
        <v>0</v>
      </c>
      <c r="J144" s="355" t="s">
        <v>869</v>
      </c>
      <c r="K144" s="351" t="s">
        <v>870</v>
      </c>
      <c r="L144" s="434" t="s">
        <v>248</v>
      </c>
    </row>
    <row r="145" spans="1:12" s="373" customFormat="1" ht="46" x14ac:dyDescent="0.25">
      <c r="A145" s="372" t="s">
        <v>359</v>
      </c>
      <c r="B145" s="222" t="s">
        <v>76</v>
      </c>
      <c r="C145" s="359" t="s">
        <v>443</v>
      </c>
      <c r="D145" s="359" t="s">
        <v>376</v>
      </c>
      <c r="E145" s="404">
        <v>17</v>
      </c>
      <c r="F145" s="360" t="s">
        <v>416</v>
      </c>
      <c r="G145" s="414">
        <f>0.3*117.05*12/'Average wages'!B32</f>
        <v>2.0631278113072592E-2</v>
      </c>
      <c r="H145" s="404" t="s">
        <v>1124</v>
      </c>
      <c r="I145" s="375" t="s">
        <v>591</v>
      </c>
      <c r="J145" s="362" t="str">
        <f>J141</f>
        <v>EUR 188.02/month of income per family member (11% of AW)</v>
      </c>
      <c r="K145" s="363" t="str">
        <f>K141</f>
        <v>Benefit withdrawn in six steps, fully withdrawn when income per family member exceeds EUR 1034.14/month (61% of AW)</v>
      </c>
      <c r="L145" s="435" t="s">
        <v>104</v>
      </c>
    </row>
    <row r="146" spans="1:12" ht="46" x14ac:dyDescent="0.25">
      <c r="A146" s="124" t="s">
        <v>362</v>
      </c>
      <c r="B146" s="325" t="s">
        <v>77</v>
      </c>
      <c r="C146" s="69" t="s">
        <v>1211</v>
      </c>
      <c r="D146" s="69" t="s">
        <v>376</v>
      </c>
      <c r="E146" s="398">
        <v>17</v>
      </c>
      <c r="F146" s="73" t="s">
        <v>123</v>
      </c>
      <c r="G146" s="408">
        <f>588/'Average wages'!B33</f>
        <v>2.1830951614331375E-2</v>
      </c>
      <c r="H146" s="398">
        <v>0</v>
      </c>
      <c r="I146" s="119">
        <v>0</v>
      </c>
      <c r="J146" s="533" t="str">
        <f>"Income threshold increases with number of children; maximum income for one child EUR 12 424 ("&amp;TEXT(12424/'Average wages'!B33,"0%")&amp;" of AW)"</f>
        <v>Income threshold increases with number of children; maximum income for one child EUR 12 424 (46% of AW)</v>
      </c>
      <c r="K146" s="122">
        <v>1</v>
      </c>
      <c r="L146" s="112" t="s">
        <v>104</v>
      </c>
    </row>
    <row r="147" spans="1:12" ht="46" x14ac:dyDescent="0.25">
      <c r="A147" s="124" t="s">
        <v>360</v>
      </c>
      <c r="B147" s="376" t="s">
        <v>78</v>
      </c>
      <c r="C147" s="366" t="s">
        <v>1018</v>
      </c>
      <c r="D147" s="366" t="s">
        <v>380</v>
      </c>
      <c r="E147" s="405" t="s">
        <v>444</v>
      </c>
      <c r="F147" s="377" t="s">
        <v>123</v>
      </c>
      <c r="G147" s="415">
        <f>15000/'Average wages'!B34</f>
        <v>3.220495799059022E-2</v>
      </c>
      <c r="H147" s="425" t="s">
        <v>691</v>
      </c>
      <c r="I147" s="378" t="s">
        <v>377</v>
      </c>
      <c r="J147" s="318" t="s">
        <v>95</v>
      </c>
      <c r="K147" s="319" t="s">
        <v>95</v>
      </c>
      <c r="L147" s="436" t="s">
        <v>95</v>
      </c>
    </row>
    <row r="148" spans="1:12" x14ac:dyDescent="0.25">
      <c r="A148" s="124" t="s">
        <v>359</v>
      </c>
      <c r="B148" s="379" t="s">
        <v>78</v>
      </c>
      <c r="C148" s="380" t="s">
        <v>480</v>
      </c>
      <c r="D148" s="380" t="s">
        <v>380</v>
      </c>
      <c r="E148" s="388" t="s">
        <v>444</v>
      </c>
      <c r="F148" s="381" t="s">
        <v>402</v>
      </c>
      <c r="G148" s="417">
        <f>1573*12/'Average wages'!B34</f>
        <v>4.0526719135358734E-2</v>
      </c>
      <c r="H148" s="426" t="s">
        <v>377</v>
      </c>
      <c r="I148" s="382">
        <v>0</v>
      </c>
      <c r="J148" s="323" t="s">
        <v>95</v>
      </c>
      <c r="K148" s="324" t="s">
        <v>95</v>
      </c>
      <c r="L148" s="440" t="s">
        <v>95</v>
      </c>
    </row>
    <row r="149" spans="1:12" ht="24" x14ac:dyDescent="0.25">
      <c r="A149" s="124" t="s">
        <v>362</v>
      </c>
      <c r="B149" s="221" t="s">
        <v>371</v>
      </c>
      <c r="C149" s="209" t="s">
        <v>745</v>
      </c>
      <c r="D149" s="209" t="s">
        <v>380</v>
      </c>
      <c r="E149" s="398" t="s">
        <v>746</v>
      </c>
      <c r="F149" s="215" t="s">
        <v>446</v>
      </c>
      <c r="G149" s="408">
        <f>2400/'Average wages'!B35</f>
        <v>2.7471628404778171E-2</v>
      </c>
      <c r="H149" s="398" t="s">
        <v>377</v>
      </c>
      <c r="I149" s="119">
        <v>0</v>
      </c>
      <c r="J149" s="533" t="s">
        <v>95</v>
      </c>
      <c r="K149" s="122" t="s">
        <v>95</v>
      </c>
      <c r="L149" s="112" t="s">
        <v>95</v>
      </c>
    </row>
    <row r="150" spans="1:12" ht="23" x14ac:dyDescent="0.25">
      <c r="A150" s="124"/>
      <c r="B150" s="222" t="s">
        <v>371</v>
      </c>
      <c r="C150" s="210" t="s">
        <v>1019</v>
      </c>
      <c r="D150" s="210" t="s">
        <v>394</v>
      </c>
      <c r="E150" s="399" t="s">
        <v>843</v>
      </c>
      <c r="F150" s="216" t="s">
        <v>123</v>
      </c>
      <c r="G150" s="409">
        <f>251/'Average wages'!B34</f>
        <v>5.3889629704254309E-4</v>
      </c>
      <c r="H150" s="399">
        <v>0</v>
      </c>
      <c r="I150" s="121" t="s">
        <v>136</v>
      </c>
      <c r="J150" s="535" t="s">
        <v>95</v>
      </c>
      <c r="K150" s="120" t="s">
        <v>95</v>
      </c>
      <c r="L150" s="330" t="s">
        <v>95</v>
      </c>
    </row>
    <row r="151" spans="1:12" x14ac:dyDescent="0.25">
      <c r="A151" s="317" t="s">
        <v>359</v>
      </c>
      <c r="B151" s="223" t="s">
        <v>371</v>
      </c>
      <c r="C151" s="211" t="s">
        <v>423</v>
      </c>
      <c r="D151" s="211" t="s">
        <v>380</v>
      </c>
      <c r="E151" s="400" t="s">
        <v>843</v>
      </c>
      <c r="F151" s="217" t="s">
        <v>123</v>
      </c>
      <c r="G151" s="305">
        <f>6500/'Average wages'!B35</f>
        <v>7.4402326929607548E-2</v>
      </c>
      <c r="H151" s="400">
        <v>0</v>
      </c>
      <c r="I151" s="129">
        <v>0</v>
      </c>
      <c r="J151" s="523" t="s">
        <v>95</v>
      </c>
      <c r="K151" s="524" t="s">
        <v>95</v>
      </c>
      <c r="L151" s="332" t="s">
        <v>95</v>
      </c>
    </row>
    <row r="152" spans="1:12" ht="34.5" x14ac:dyDescent="0.25">
      <c r="A152" s="317"/>
      <c r="B152" s="193" t="s">
        <v>80</v>
      </c>
      <c r="C152" s="326" t="s">
        <v>1125</v>
      </c>
      <c r="D152" s="326" t="s">
        <v>376</v>
      </c>
      <c r="E152" s="399">
        <v>18</v>
      </c>
      <c r="F152" s="191" t="s">
        <v>1126</v>
      </c>
      <c r="G152" s="305">
        <f>50*12/'[1]Average wages'!B35</f>
        <v>9.2169583985055505E-3</v>
      </c>
      <c r="H152" s="399" t="s">
        <v>377</v>
      </c>
      <c r="I152" s="127">
        <v>0</v>
      </c>
      <c r="J152" s="535" t="s">
        <v>123</v>
      </c>
      <c r="K152" s="120" t="s">
        <v>1127</v>
      </c>
      <c r="L152" s="330" t="s">
        <v>123</v>
      </c>
    </row>
    <row r="153" spans="1:12" ht="57.5" x14ac:dyDescent="0.25">
      <c r="A153" s="317" t="s">
        <v>360</v>
      </c>
      <c r="B153" s="383" t="s">
        <v>1433</v>
      </c>
      <c r="C153" s="274" t="s">
        <v>418</v>
      </c>
      <c r="D153" s="336" t="s">
        <v>447</v>
      </c>
      <c r="E153" s="405" t="s">
        <v>444</v>
      </c>
      <c r="F153" s="286" t="s">
        <v>123</v>
      </c>
      <c r="G153" s="415">
        <f>21.05*52/'Average wages'!B37</f>
        <v>2.6182040003673301E-2</v>
      </c>
      <c r="H153" s="405">
        <v>0</v>
      </c>
      <c r="I153" s="128" t="s">
        <v>398</v>
      </c>
      <c r="J153" s="318" t="str">
        <f>"GBP 50,000 ("&amp;TEXT(50000*100/'Average wages'!B37,0)&amp;"% of AW) of income of higher-earning parent"</f>
        <v>GBP 50,000 (120% of AW) of income of higher-earning parent</v>
      </c>
      <c r="K153" s="319" t="str">
        <f>"1% of benefit amount lost for each GBP 100 of income between GBP50000 ("&amp;TEXT(50000*100/'Average wages'!B37,0)&amp;"% of AW) to GBP 60000 ("&amp;TEXT(60000*100/'Average wages'!B37,0)&amp;"% of AW), at which point benefit is fully withdrawn"</f>
        <v>1% of benefit amount lost for each GBP 100 of income between GBP50000 (120% of AW) to GBP 60000 (144% of AW), at which point benefit is fully withdrawn</v>
      </c>
      <c r="L153" s="436" t="s">
        <v>123</v>
      </c>
    </row>
    <row r="154" spans="1:12" ht="25" x14ac:dyDescent="0.25">
      <c r="A154" s="317" t="s">
        <v>364</v>
      </c>
      <c r="B154" s="224" t="s">
        <v>1439</v>
      </c>
      <c r="C154" s="209" t="s">
        <v>448</v>
      </c>
      <c r="D154" s="209" t="s">
        <v>376</v>
      </c>
      <c r="E154" s="398" t="s">
        <v>449</v>
      </c>
      <c r="F154" s="215" t="s">
        <v>123</v>
      </c>
      <c r="G154" s="408">
        <f>403*12/'Average wages'!B38</f>
        <v>8.0305029831579597E-2</v>
      </c>
      <c r="H154" s="398">
        <v>0</v>
      </c>
      <c r="I154" s="194" t="s">
        <v>398</v>
      </c>
      <c r="J154" s="533" t="str">
        <f>"USD 200/month ("&amp;TEXT(100*200*12/'Average wages'!B38,0)&amp;"% of AW)"</f>
        <v>USD 200/month (4% of AW)</v>
      </c>
      <c r="K154" s="122">
        <v>0.5</v>
      </c>
      <c r="L154" s="112" t="s">
        <v>104</v>
      </c>
    </row>
    <row r="155" spans="1:12" ht="46" x14ac:dyDescent="0.25">
      <c r="A155" s="124" t="s">
        <v>362</v>
      </c>
      <c r="B155" s="225" t="s">
        <v>1020</v>
      </c>
      <c r="C155" s="216" t="s">
        <v>450</v>
      </c>
      <c r="D155" s="210" t="s">
        <v>387</v>
      </c>
      <c r="E155" s="399" t="s">
        <v>414</v>
      </c>
      <c r="F155" s="216" t="s">
        <v>451</v>
      </c>
      <c r="G155" s="409">
        <f>(3584-538)/'Average wages'!B38</f>
        <v>5.0580876936929579E-2</v>
      </c>
      <c r="H155" s="399">
        <v>0</v>
      </c>
      <c r="I155" s="127" t="s">
        <v>398</v>
      </c>
      <c r="J155" s="535" t="str">
        <f>"USD 19,328 ("&amp;TEXT(100*19328/'Average wages'!B38,0)&amp;"% of AW) for single people 
USD 25,218 ("&amp;TEXT(100*25218/'Average wages'!B38,0)&amp;"% of AW) for couples"</f>
        <v>USD 19,328 (32% of AW) for single people 
USD 25,218 (42% of AW) for couples</v>
      </c>
      <c r="K155" s="120" t="s">
        <v>871</v>
      </c>
      <c r="L155" s="330" t="s">
        <v>104</v>
      </c>
    </row>
    <row r="156" spans="1:12" ht="23" x14ac:dyDescent="0.25">
      <c r="A156" s="124" t="s">
        <v>362</v>
      </c>
      <c r="B156" s="225" t="s">
        <v>1440</v>
      </c>
      <c r="C156" s="216" t="s">
        <v>701</v>
      </c>
      <c r="D156" s="210" t="s">
        <v>452</v>
      </c>
      <c r="E156" s="399" t="s">
        <v>104</v>
      </c>
      <c r="F156" s="216" t="s">
        <v>416</v>
      </c>
      <c r="G156" s="409">
        <f>10%*(24800-18650)/'Average wages'!B38</f>
        <v>1.0212488285033385E-2</v>
      </c>
      <c r="H156" s="399">
        <v>0</v>
      </c>
      <c r="I156" s="127">
        <v>0</v>
      </c>
      <c r="J156" s="535" t="s">
        <v>95</v>
      </c>
      <c r="K156" s="120" t="s">
        <v>95</v>
      </c>
      <c r="L156" s="330" t="s">
        <v>104</v>
      </c>
    </row>
    <row r="157" spans="1:12" ht="46" x14ac:dyDescent="0.25">
      <c r="A157" s="124"/>
      <c r="B157" s="225" t="s">
        <v>316</v>
      </c>
      <c r="C157" s="216" t="s">
        <v>429</v>
      </c>
      <c r="D157" s="210" t="s">
        <v>453</v>
      </c>
      <c r="E157" s="399">
        <v>16</v>
      </c>
      <c r="F157" s="216" t="s">
        <v>123</v>
      </c>
      <c r="G157" s="409">
        <f>2000/'Average wages'!B38</f>
        <v>3.321134401636873E-2</v>
      </c>
      <c r="H157" s="399">
        <v>0</v>
      </c>
      <c r="I157" s="307" t="s">
        <v>462</v>
      </c>
      <c r="J157" s="535" t="str">
        <f>"USD 400,000 ("&amp;TEXT(100*400000/'Average wages'!B38,0)&amp;"% of AW) for married taxpayers
USD 200,000 ("&amp;TEXT(100*200000/'Average wages'!B38,0)&amp;"% of AW) for single and lone-parent taxpayers"</f>
        <v>USD 400,000 (664% of AW) for married taxpayers
USD 200,000 (332% of AW) for single and lone-parent taxpayers</v>
      </c>
      <c r="K157" s="120">
        <v>0.05</v>
      </c>
      <c r="L157" s="330" t="s">
        <v>104</v>
      </c>
    </row>
    <row r="158" spans="1:12" ht="23" x14ac:dyDescent="0.25">
      <c r="A158" s="124" t="s">
        <v>359</v>
      </c>
      <c r="B158" s="393" t="s">
        <v>316</v>
      </c>
      <c r="C158" s="211" t="s">
        <v>700</v>
      </c>
      <c r="D158" s="211" t="s">
        <v>434</v>
      </c>
      <c r="E158" s="400" t="s">
        <v>104</v>
      </c>
      <c r="F158" s="217" t="s">
        <v>416</v>
      </c>
      <c r="G158" s="419" t="s">
        <v>95</v>
      </c>
      <c r="H158" s="400">
        <v>0</v>
      </c>
      <c r="I158" s="322" t="s">
        <v>136</v>
      </c>
      <c r="J158" s="523" t="s">
        <v>95</v>
      </c>
      <c r="K158" s="524" t="s">
        <v>95</v>
      </c>
      <c r="L158" s="332" t="s">
        <v>104</v>
      </c>
    </row>
    <row r="159" spans="1:12" x14ac:dyDescent="0.25">
      <c r="A159" s="124" t="s">
        <v>359</v>
      </c>
      <c r="B159" s="21" t="s">
        <v>1149</v>
      </c>
      <c r="C159" s="218"/>
      <c r="D159" s="218"/>
      <c r="E159" s="406"/>
      <c r="F159" s="131"/>
      <c r="G159" s="420"/>
      <c r="H159" s="193"/>
      <c r="I159" s="131"/>
      <c r="J159" s="193"/>
      <c r="K159" s="131"/>
      <c r="L159" s="243"/>
    </row>
    <row r="160" spans="1:12" ht="69" x14ac:dyDescent="0.25">
      <c r="A160" s="124" t="s">
        <v>362</v>
      </c>
      <c r="B160" s="394" t="s">
        <v>83</v>
      </c>
      <c r="C160" s="336" t="s">
        <v>836</v>
      </c>
      <c r="D160" s="336" t="s">
        <v>376</v>
      </c>
      <c r="E160" s="405" t="s">
        <v>428</v>
      </c>
      <c r="F160" s="286" t="s">
        <v>123</v>
      </c>
      <c r="G160" s="415">
        <f>40*12/'Average wages'!B40</f>
        <v>2.9822610194123765E-2</v>
      </c>
      <c r="H160" s="405">
        <v>0</v>
      </c>
      <c r="I160" s="384" t="s">
        <v>1128</v>
      </c>
      <c r="J160" s="318" t="str">
        <f>"BGN 410 per month ("&amp;TEXT(410*12/'Average wages'!B40,"0%")&amp;" of AW) per family member"</f>
        <v>BGN 410 per month (31% of AW) per family member</v>
      </c>
      <c r="K160" s="319" t="str">
        <f>"Benefit withdrawn in two stages: 80% of the allowance paid if gross income per family member is between BGN 410 and BGN 510 per month ("&amp;TEXT(510*12/'Average wages'!B40,"0%")&amp;" of AW)
Benefit fully withdrawn if gross income per family member above this level"</f>
        <v>Benefit withdrawn in two stages: 80% of the allowance paid if gross income per family member is between BGN 410 and BGN 510 per month (38% of AW)
Benefit fully withdrawn if gross income per family member above this level</v>
      </c>
      <c r="L160" s="436" t="s">
        <v>248</v>
      </c>
    </row>
    <row r="161" spans="1:16384" ht="24" x14ac:dyDescent="0.25">
      <c r="A161" s="124" t="s">
        <v>359</v>
      </c>
      <c r="B161" s="395" t="s">
        <v>83</v>
      </c>
      <c r="C161" s="327" t="s">
        <v>837</v>
      </c>
      <c r="D161" s="327" t="s">
        <v>376</v>
      </c>
      <c r="E161" s="389" t="s">
        <v>454</v>
      </c>
      <c r="F161" s="244" t="s">
        <v>123</v>
      </c>
      <c r="G161" s="416">
        <f>250/'Average wages'!B40</f>
        <v>1.5532609476106128E-2</v>
      </c>
      <c r="H161" s="389">
        <v>0</v>
      </c>
      <c r="I161" s="385">
        <v>0</v>
      </c>
      <c r="J161" s="320" t="str">
        <f>"BGN 450 per month ("&amp;TEXT(450*12/'Average wages'!B40,"0%")&amp;" of AW) per family member"</f>
        <v>BGN 450 per month (34% of AW) per family member</v>
      </c>
      <c r="K161" s="385" t="s">
        <v>872</v>
      </c>
      <c r="L161" s="441" t="s">
        <v>248</v>
      </c>
    </row>
    <row r="162" spans="1:16384" ht="24" x14ac:dyDescent="0.25">
      <c r="A162" s="124" t="s">
        <v>362</v>
      </c>
      <c r="B162" s="396" t="s">
        <v>83</v>
      </c>
      <c r="C162" s="386" t="s">
        <v>1129</v>
      </c>
      <c r="D162" s="386" t="s">
        <v>380</v>
      </c>
      <c r="E162" s="388">
        <v>17</v>
      </c>
      <c r="F162" s="77" t="s">
        <v>455</v>
      </c>
      <c r="G162" s="417">
        <f>80*12/'Average wages'!B40</f>
        <v>5.964522038824753E-2</v>
      </c>
      <c r="H162" s="388">
        <v>0</v>
      </c>
      <c r="I162" s="387">
        <v>0</v>
      </c>
      <c r="J162" s="388" t="s">
        <v>95</v>
      </c>
      <c r="K162" s="387" t="s">
        <v>95</v>
      </c>
      <c r="L162" s="438" t="s">
        <v>95</v>
      </c>
    </row>
    <row r="163" spans="1:16384" s="251" customFormat="1" ht="46" x14ac:dyDescent="0.25">
      <c r="A163" s="124" t="s">
        <v>359</v>
      </c>
      <c r="B163" s="308" t="s">
        <v>84</v>
      </c>
      <c r="C163" s="69" t="s">
        <v>1362</v>
      </c>
      <c r="D163" s="69" t="s">
        <v>376</v>
      </c>
      <c r="E163" s="398" t="s">
        <v>456</v>
      </c>
      <c r="F163" s="73" t="s">
        <v>123</v>
      </c>
      <c r="G163" s="408">
        <f>3326*0.09*12/'Average wages'!B41</f>
        <v>3.4701287185489829E-2</v>
      </c>
      <c r="H163" s="398">
        <v>0</v>
      </c>
      <c r="I163" s="119" t="s">
        <v>463</v>
      </c>
      <c r="J163" s="533" t="str">
        <f>"HRK 543 per month ("&amp;TEXT(0.1633*3326*12/'Average wages'!B41,"0%")&amp;" of AW) per family member"</f>
        <v>HRK 543 per month (6% of AW) per family member</v>
      </c>
      <c r="K163" s="122" t="str">
        <f>"Benefit decreases in steps with income brackets, fully withdrawn when income exceeds HRK 2,328 per month ("&amp;TEXT(2328*12/'Average wages'!B41,"0%")&amp;" of AW) per family member"</f>
        <v>Benefit decreases in steps with income brackets, fully withdrawn when income exceeds HRK 2,328 per month (27% of AW) per family member</v>
      </c>
      <c r="L163" s="112" t="s">
        <v>248</v>
      </c>
    </row>
    <row r="164" spans="1:16384" s="22" customFormat="1" ht="46" x14ac:dyDescent="0.25">
      <c r="A164" s="124" t="s">
        <v>359</v>
      </c>
      <c r="B164" s="31" t="s">
        <v>84</v>
      </c>
      <c r="C164" s="327" t="s">
        <v>622</v>
      </c>
      <c r="D164" s="327" t="s">
        <v>376</v>
      </c>
      <c r="E164" s="389" t="s">
        <v>456</v>
      </c>
      <c r="F164" s="244" t="s">
        <v>416</v>
      </c>
      <c r="G164" s="416">
        <f>3326*0.09*0.15*12/'Average wages'!B41</f>
        <v>5.2051930778234737E-3</v>
      </c>
      <c r="H164" s="389">
        <v>0</v>
      </c>
      <c r="I164" s="427" t="s">
        <v>463</v>
      </c>
      <c r="J164" s="389" t="str">
        <f>J163</f>
        <v>HRK 543 per month (6% of AW) per family member</v>
      </c>
      <c r="K164" s="385" t="str">
        <f>K163</f>
        <v>Benefit decreases in steps with income brackets, fully withdrawn when income exceeds HRK 2,328 per month (27% of AW) per family member</v>
      </c>
      <c r="L164" s="441" t="s">
        <v>248</v>
      </c>
    </row>
    <row r="165" spans="1:16384" s="22" customFormat="1" x14ac:dyDescent="0.25">
      <c r="A165" s="124"/>
      <c r="B165" s="31" t="s">
        <v>84</v>
      </c>
      <c r="C165" s="327" t="s">
        <v>423</v>
      </c>
      <c r="D165" s="327" t="s">
        <v>376</v>
      </c>
      <c r="E165" s="389" t="s">
        <v>104</v>
      </c>
      <c r="F165" s="244" t="s">
        <v>498</v>
      </c>
      <c r="G165" s="416">
        <f>21000/'Average wages'!B41</f>
        <v>0.20287049032741097</v>
      </c>
      <c r="H165" s="389">
        <v>0</v>
      </c>
      <c r="I165" s="427" t="s">
        <v>1337</v>
      </c>
      <c r="J165" s="389" t="s">
        <v>95</v>
      </c>
      <c r="K165" s="385" t="s">
        <v>623</v>
      </c>
      <c r="L165" s="441" t="s">
        <v>623</v>
      </c>
    </row>
    <row r="166" spans="1:16384" s="237" customFormat="1" ht="34.5" x14ac:dyDescent="0.25">
      <c r="A166" s="124"/>
      <c r="B166" s="31" t="s">
        <v>84</v>
      </c>
      <c r="C166" s="326" t="s">
        <v>838</v>
      </c>
      <c r="D166" s="326" t="s">
        <v>380</v>
      </c>
      <c r="E166" s="399" t="s">
        <v>668</v>
      </c>
      <c r="F166" s="191" t="s">
        <v>854</v>
      </c>
      <c r="G166" s="409">
        <f>6806*12/'Average wages'!B41</f>
        <v>0.78899231838191952</v>
      </c>
      <c r="H166" s="399">
        <v>0</v>
      </c>
      <c r="I166" s="427" t="s">
        <v>136</v>
      </c>
      <c r="J166" s="535" t="s">
        <v>95</v>
      </c>
      <c r="K166" s="120" t="s">
        <v>623</v>
      </c>
      <c r="L166" s="330" t="s">
        <v>623</v>
      </c>
      <c r="M166" s="22"/>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c r="AN166" s="22"/>
      <c r="AO166" s="22"/>
      <c r="AP166" s="22"/>
      <c r="AQ166" s="22"/>
      <c r="AR166" s="22"/>
      <c r="AS166" s="22"/>
      <c r="AT166" s="22"/>
      <c r="AU166" s="22"/>
      <c r="AV166" s="22"/>
      <c r="AW166" s="22"/>
      <c r="AX166" s="22"/>
      <c r="AY166" s="22"/>
      <c r="AZ166" s="22"/>
      <c r="BA166" s="22"/>
      <c r="BB166" s="22"/>
      <c r="BC166" s="22"/>
      <c r="BD166" s="22"/>
      <c r="BE166" s="22"/>
      <c r="BF166" s="22"/>
      <c r="BG166" s="22"/>
      <c r="BH166" s="22"/>
      <c r="BI166" s="22"/>
      <c r="BJ166" s="22"/>
      <c r="BK166" s="22"/>
      <c r="BL166" s="22"/>
      <c r="BM166" s="22"/>
      <c r="BN166" s="22"/>
      <c r="BO166" s="22"/>
      <c r="BP166" s="22"/>
      <c r="BQ166" s="22"/>
      <c r="BR166" s="22"/>
      <c r="BS166" s="22"/>
      <c r="BT166" s="22"/>
      <c r="BU166" s="22"/>
      <c r="BV166" s="22"/>
      <c r="BW166" s="22"/>
      <c r="BX166" s="22"/>
      <c r="BY166" s="22"/>
      <c r="BZ166" s="22"/>
      <c r="CA166" s="22"/>
      <c r="CB166" s="22"/>
      <c r="CC166" s="22"/>
      <c r="CD166" s="22"/>
      <c r="CE166" s="22"/>
      <c r="CF166" s="22"/>
      <c r="CG166" s="22"/>
      <c r="CH166" s="22"/>
      <c r="CI166" s="22"/>
      <c r="CJ166" s="22"/>
      <c r="CK166" s="22"/>
      <c r="CL166" s="22"/>
      <c r="CM166" s="22"/>
      <c r="CN166" s="22"/>
      <c r="CO166" s="22"/>
      <c r="CP166" s="22"/>
      <c r="CQ166" s="22"/>
      <c r="CR166" s="22"/>
      <c r="CS166" s="22"/>
      <c r="CT166" s="22"/>
      <c r="CU166" s="22"/>
      <c r="CV166" s="22"/>
      <c r="CW166" s="22"/>
      <c r="CX166" s="22"/>
      <c r="CY166" s="22"/>
      <c r="CZ166" s="22"/>
      <c r="DA166" s="22"/>
      <c r="DB166" s="22"/>
      <c r="DC166" s="22"/>
      <c r="DD166" s="22"/>
      <c r="DE166" s="22"/>
      <c r="DF166" s="22"/>
      <c r="DG166" s="22"/>
      <c r="DH166" s="22"/>
      <c r="DI166" s="22"/>
      <c r="DJ166" s="22"/>
      <c r="DK166" s="22"/>
      <c r="DL166" s="22"/>
      <c r="DM166" s="22"/>
      <c r="DN166" s="22"/>
      <c r="DO166" s="22"/>
      <c r="DP166" s="22"/>
      <c r="DQ166" s="22"/>
      <c r="DR166" s="22"/>
      <c r="DS166" s="22"/>
      <c r="DT166" s="22"/>
      <c r="DU166" s="22"/>
      <c r="DV166" s="22"/>
      <c r="DW166" s="22"/>
      <c r="DX166" s="22"/>
      <c r="DY166" s="22"/>
      <c r="DZ166" s="22"/>
      <c r="EA166" s="22"/>
      <c r="EB166" s="22"/>
      <c r="EC166" s="22"/>
      <c r="ED166" s="22"/>
      <c r="EE166" s="22"/>
      <c r="EF166" s="22"/>
      <c r="EG166" s="22"/>
      <c r="EH166" s="22"/>
      <c r="EI166" s="22"/>
      <c r="EJ166" s="22"/>
      <c r="EK166" s="22"/>
      <c r="EL166" s="22"/>
      <c r="EM166" s="22"/>
      <c r="EN166" s="22"/>
      <c r="EO166" s="22"/>
      <c r="EP166" s="22"/>
      <c r="EQ166" s="22"/>
      <c r="ER166" s="22"/>
      <c r="ES166" s="22"/>
      <c r="ET166" s="22"/>
      <c r="EU166" s="22"/>
      <c r="EV166" s="22"/>
      <c r="EW166" s="22"/>
      <c r="EX166" s="22"/>
      <c r="EY166" s="22"/>
      <c r="EZ166" s="22"/>
      <c r="FA166" s="22"/>
      <c r="FB166" s="22"/>
      <c r="FC166" s="22"/>
      <c r="FD166" s="22"/>
      <c r="FE166" s="22"/>
      <c r="FF166" s="22"/>
      <c r="FG166" s="22"/>
      <c r="FH166" s="22"/>
      <c r="FI166" s="22"/>
      <c r="FJ166" s="22"/>
      <c r="FK166" s="22"/>
      <c r="FL166" s="22"/>
      <c r="FM166" s="22"/>
      <c r="FN166" s="22"/>
      <c r="FO166" s="22"/>
      <c r="FP166" s="22"/>
      <c r="FQ166" s="22"/>
      <c r="FR166" s="22"/>
      <c r="FS166" s="22"/>
      <c r="FT166" s="22"/>
      <c r="FU166" s="22"/>
      <c r="FV166" s="22"/>
      <c r="FW166" s="22"/>
      <c r="FX166" s="22"/>
      <c r="FY166" s="22"/>
      <c r="FZ166" s="22"/>
      <c r="GA166" s="22"/>
      <c r="GB166" s="22"/>
      <c r="GC166" s="22"/>
      <c r="GD166" s="22"/>
      <c r="GE166" s="22"/>
      <c r="GF166" s="22"/>
      <c r="GG166" s="22"/>
      <c r="GH166" s="22"/>
      <c r="GI166" s="22"/>
      <c r="GJ166" s="22"/>
      <c r="GK166" s="22"/>
      <c r="GL166" s="22"/>
      <c r="GM166" s="22"/>
      <c r="GN166" s="22"/>
      <c r="GO166" s="22"/>
      <c r="GP166" s="22"/>
      <c r="GQ166" s="22"/>
      <c r="GR166" s="22"/>
      <c r="GS166" s="22"/>
      <c r="GT166" s="22"/>
      <c r="GU166" s="22"/>
      <c r="GV166" s="22"/>
      <c r="GW166" s="22"/>
      <c r="GX166" s="22"/>
      <c r="GY166" s="22"/>
      <c r="GZ166" s="22"/>
      <c r="HA166" s="22"/>
      <c r="HB166" s="22"/>
      <c r="HC166" s="22"/>
      <c r="HD166" s="22"/>
      <c r="HE166" s="22"/>
      <c r="HF166" s="22"/>
      <c r="HG166" s="22"/>
      <c r="HH166" s="22"/>
      <c r="HI166" s="22"/>
      <c r="HJ166" s="22"/>
      <c r="HK166" s="22"/>
      <c r="HL166" s="22"/>
      <c r="HM166" s="22"/>
      <c r="HN166" s="22"/>
      <c r="HO166" s="22"/>
      <c r="HP166" s="22"/>
      <c r="HQ166" s="22"/>
      <c r="HR166" s="22"/>
      <c r="HS166" s="22"/>
      <c r="HT166" s="22"/>
      <c r="HU166" s="22"/>
      <c r="HV166" s="22"/>
      <c r="HW166" s="22"/>
      <c r="HX166" s="22"/>
      <c r="HY166" s="22"/>
      <c r="HZ166" s="22"/>
      <c r="IA166" s="22"/>
      <c r="IB166" s="22"/>
      <c r="IC166" s="22"/>
      <c r="ID166" s="22"/>
      <c r="IE166" s="22"/>
      <c r="IF166" s="22"/>
      <c r="IG166" s="22"/>
      <c r="IH166" s="22"/>
      <c r="II166" s="22"/>
      <c r="IJ166" s="22"/>
      <c r="IK166" s="22"/>
      <c r="IL166" s="22"/>
      <c r="IM166" s="22"/>
      <c r="IN166" s="22"/>
      <c r="IO166" s="22"/>
      <c r="IP166" s="22"/>
      <c r="IQ166" s="22"/>
      <c r="IR166" s="22"/>
      <c r="IS166" s="22"/>
      <c r="IT166" s="22"/>
      <c r="IU166" s="22"/>
      <c r="IV166" s="22"/>
      <c r="IW166" s="22"/>
      <c r="IX166" s="22"/>
      <c r="IY166" s="22"/>
      <c r="IZ166" s="22"/>
      <c r="JA166" s="22"/>
      <c r="JB166" s="22"/>
      <c r="JC166" s="22"/>
      <c r="JD166" s="22"/>
      <c r="JE166" s="22"/>
      <c r="JF166" s="22"/>
      <c r="JG166" s="22"/>
      <c r="JH166" s="22"/>
      <c r="JI166" s="22"/>
      <c r="JJ166" s="22"/>
      <c r="JK166" s="22"/>
      <c r="JL166" s="22"/>
      <c r="JM166" s="22"/>
      <c r="JN166" s="22"/>
      <c r="JO166" s="22"/>
      <c r="JP166" s="22"/>
      <c r="JQ166" s="22"/>
      <c r="JR166" s="22"/>
      <c r="JS166" s="22"/>
      <c r="JT166" s="22"/>
      <c r="JU166" s="22"/>
      <c r="JV166" s="22"/>
      <c r="JW166" s="22"/>
      <c r="JX166" s="22"/>
      <c r="JY166" s="22"/>
      <c r="JZ166" s="22"/>
      <c r="KA166" s="22"/>
      <c r="KB166" s="22"/>
      <c r="KC166" s="22"/>
      <c r="KD166" s="22"/>
      <c r="KE166" s="22"/>
      <c r="KF166" s="22"/>
      <c r="KG166" s="22"/>
      <c r="KH166" s="22"/>
      <c r="KI166" s="22"/>
      <c r="KJ166" s="22"/>
      <c r="KK166" s="22"/>
      <c r="KL166" s="22"/>
      <c r="KM166" s="22"/>
      <c r="KN166" s="22"/>
      <c r="KO166" s="22"/>
      <c r="KP166" s="22"/>
      <c r="KQ166" s="22"/>
      <c r="KR166" s="22"/>
      <c r="KS166" s="22"/>
      <c r="KT166" s="22"/>
      <c r="KU166" s="22"/>
      <c r="KV166" s="22"/>
      <c r="KW166" s="22"/>
      <c r="KX166" s="22"/>
      <c r="KY166" s="22"/>
      <c r="KZ166" s="22"/>
      <c r="LA166" s="22"/>
      <c r="LB166" s="22"/>
      <c r="LC166" s="22"/>
      <c r="LD166" s="22"/>
      <c r="LE166" s="22"/>
      <c r="LF166" s="22"/>
      <c r="LG166" s="22"/>
      <c r="LH166" s="22"/>
      <c r="LI166" s="22"/>
      <c r="LJ166" s="22"/>
      <c r="LK166" s="22"/>
      <c r="LL166" s="22"/>
      <c r="LM166" s="22"/>
      <c r="LN166" s="22"/>
      <c r="LO166" s="22"/>
      <c r="LP166" s="22"/>
      <c r="LQ166" s="22"/>
      <c r="LR166" s="22"/>
      <c r="LS166" s="22"/>
      <c r="LT166" s="22"/>
      <c r="LU166" s="22"/>
      <c r="LV166" s="22"/>
      <c r="LW166" s="22"/>
      <c r="LX166" s="22"/>
      <c r="LY166" s="22"/>
      <c r="LZ166" s="22"/>
      <c r="MA166" s="22"/>
      <c r="MB166" s="22"/>
      <c r="MC166" s="22"/>
      <c r="MD166" s="22"/>
      <c r="ME166" s="22"/>
      <c r="MF166" s="22"/>
      <c r="MG166" s="22"/>
      <c r="MH166" s="22"/>
      <c r="MI166" s="22"/>
      <c r="MJ166" s="22"/>
      <c r="MK166" s="22"/>
      <c r="ML166" s="22"/>
      <c r="MM166" s="22"/>
      <c r="MN166" s="22"/>
      <c r="MO166" s="22"/>
      <c r="MP166" s="22"/>
      <c r="MQ166" s="22"/>
      <c r="MR166" s="22"/>
      <c r="MS166" s="22"/>
      <c r="MT166" s="22"/>
      <c r="MU166" s="22"/>
      <c r="MV166" s="22"/>
      <c r="MW166" s="22"/>
      <c r="MX166" s="22"/>
      <c r="MY166" s="22"/>
      <c r="MZ166" s="22"/>
      <c r="NA166" s="22"/>
      <c r="NB166" s="22"/>
      <c r="NC166" s="22"/>
      <c r="ND166" s="22"/>
      <c r="NE166" s="22"/>
      <c r="NF166" s="22"/>
      <c r="NG166" s="22"/>
      <c r="NH166" s="22"/>
      <c r="NI166" s="22"/>
      <c r="NJ166" s="22"/>
      <c r="NK166" s="22"/>
      <c r="NL166" s="22"/>
      <c r="NM166" s="22"/>
      <c r="NN166" s="22"/>
      <c r="NO166" s="22"/>
      <c r="NP166" s="22"/>
      <c r="NQ166" s="22"/>
      <c r="NR166" s="22"/>
      <c r="NS166" s="22"/>
      <c r="NT166" s="22"/>
      <c r="NU166" s="22"/>
      <c r="NV166" s="22"/>
      <c r="NW166" s="22"/>
      <c r="NX166" s="22"/>
      <c r="NY166" s="22"/>
      <c r="NZ166" s="22"/>
      <c r="OA166" s="22"/>
      <c r="OB166" s="22"/>
      <c r="OC166" s="22"/>
      <c r="OD166" s="22"/>
      <c r="OE166" s="22"/>
      <c r="OF166" s="22"/>
      <c r="OG166" s="22"/>
      <c r="OH166" s="22"/>
      <c r="OI166" s="22"/>
      <c r="OJ166" s="22"/>
      <c r="OK166" s="22"/>
      <c r="OL166" s="22"/>
      <c r="OM166" s="22"/>
      <c r="ON166" s="22"/>
      <c r="OO166" s="22"/>
      <c r="OP166" s="22"/>
      <c r="OQ166" s="22"/>
      <c r="OR166" s="22"/>
      <c r="OS166" s="22"/>
      <c r="OT166" s="22"/>
      <c r="OU166" s="22"/>
      <c r="OV166" s="22"/>
      <c r="OW166" s="22"/>
      <c r="OX166" s="22"/>
      <c r="OY166" s="22"/>
      <c r="OZ166" s="22"/>
      <c r="PA166" s="22"/>
      <c r="PB166" s="22"/>
      <c r="PC166" s="22"/>
      <c r="PD166" s="22"/>
      <c r="PE166" s="22"/>
      <c r="PF166" s="22"/>
      <c r="PG166" s="22"/>
      <c r="PH166" s="22"/>
      <c r="PI166" s="22"/>
      <c r="PJ166" s="22"/>
      <c r="PK166" s="22"/>
      <c r="PL166" s="22"/>
      <c r="PM166" s="22"/>
      <c r="PN166" s="22"/>
      <c r="PO166" s="22"/>
      <c r="PP166" s="22"/>
      <c r="PQ166" s="22"/>
      <c r="PR166" s="22"/>
      <c r="PS166" s="22"/>
      <c r="PT166" s="22"/>
      <c r="PU166" s="22"/>
      <c r="PV166" s="22"/>
      <c r="PW166" s="22"/>
      <c r="PX166" s="22"/>
      <c r="PY166" s="22"/>
      <c r="PZ166" s="22"/>
      <c r="QA166" s="22"/>
      <c r="QB166" s="22"/>
      <c r="QC166" s="22"/>
      <c r="QD166" s="22"/>
      <c r="QE166" s="22"/>
      <c r="QF166" s="22"/>
      <c r="QG166" s="22"/>
      <c r="QH166" s="22"/>
      <c r="QI166" s="22"/>
      <c r="QJ166" s="22"/>
      <c r="QK166" s="22"/>
      <c r="QL166" s="22"/>
      <c r="QM166" s="22"/>
      <c r="QN166" s="22"/>
      <c r="QO166" s="22"/>
      <c r="QP166" s="22"/>
      <c r="QQ166" s="22"/>
      <c r="QR166" s="22"/>
      <c r="QS166" s="22"/>
      <c r="QT166" s="22"/>
      <c r="QU166" s="22"/>
      <c r="QV166" s="22"/>
      <c r="QW166" s="22"/>
      <c r="QX166" s="22"/>
      <c r="QY166" s="22"/>
      <c r="QZ166" s="22"/>
      <c r="RA166" s="22"/>
      <c r="RB166" s="22"/>
      <c r="RC166" s="22"/>
      <c r="RD166" s="22"/>
      <c r="RE166" s="22"/>
      <c r="RF166" s="22"/>
      <c r="RG166" s="22"/>
      <c r="RH166" s="22"/>
      <c r="RI166" s="22"/>
      <c r="RJ166" s="22"/>
      <c r="RK166" s="22"/>
      <c r="RL166" s="22"/>
      <c r="RM166" s="22"/>
      <c r="RN166" s="22"/>
      <c r="RO166" s="22"/>
      <c r="RP166" s="22"/>
      <c r="RQ166" s="22"/>
      <c r="RR166" s="22"/>
      <c r="RS166" s="22"/>
      <c r="RT166" s="22"/>
      <c r="RU166" s="22"/>
      <c r="RV166" s="22"/>
      <c r="RW166" s="22"/>
      <c r="RX166" s="22"/>
      <c r="RY166" s="22"/>
      <c r="RZ166" s="22"/>
      <c r="SA166" s="22"/>
      <c r="SB166" s="22"/>
      <c r="SC166" s="22"/>
      <c r="SD166" s="22"/>
      <c r="SE166" s="22"/>
      <c r="SF166" s="22"/>
      <c r="SG166" s="22"/>
      <c r="SH166" s="22"/>
      <c r="SI166" s="22"/>
      <c r="SJ166" s="22"/>
      <c r="SK166" s="22"/>
      <c r="SL166" s="22"/>
      <c r="SM166" s="22"/>
      <c r="SN166" s="22"/>
      <c r="SO166" s="22"/>
      <c r="SP166" s="22"/>
      <c r="SQ166" s="22"/>
      <c r="SR166" s="22"/>
      <c r="SS166" s="22"/>
      <c r="ST166" s="22"/>
      <c r="SU166" s="22"/>
      <c r="SV166" s="22"/>
      <c r="SW166" s="22"/>
      <c r="SX166" s="22"/>
      <c r="SY166" s="22"/>
      <c r="SZ166" s="22"/>
      <c r="TA166" s="22"/>
      <c r="TB166" s="22"/>
      <c r="TC166" s="22"/>
      <c r="TD166" s="22"/>
      <c r="TE166" s="22"/>
      <c r="TF166" s="22"/>
      <c r="TG166" s="22"/>
      <c r="TH166" s="22"/>
      <c r="TI166" s="22"/>
      <c r="TJ166" s="22"/>
      <c r="TK166" s="22"/>
      <c r="TL166" s="22"/>
      <c r="TM166" s="22"/>
      <c r="TN166" s="22"/>
      <c r="TO166" s="22"/>
      <c r="TP166" s="22"/>
      <c r="TQ166" s="22"/>
      <c r="TR166" s="22"/>
      <c r="TS166" s="22"/>
      <c r="TT166" s="22"/>
      <c r="TU166" s="22"/>
      <c r="TV166" s="22"/>
      <c r="TW166" s="22"/>
      <c r="TX166" s="22"/>
      <c r="TY166" s="22"/>
      <c r="TZ166" s="22"/>
      <c r="UA166" s="22"/>
      <c r="UB166" s="22"/>
      <c r="UC166" s="22"/>
      <c r="UD166" s="22"/>
      <c r="UE166" s="22"/>
      <c r="UF166" s="22"/>
      <c r="UG166" s="22"/>
      <c r="UH166" s="22"/>
      <c r="UI166" s="22"/>
      <c r="UJ166" s="22"/>
      <c r="UK166" s="22"/>
      <c r="UL166" s="22"/>
      <c r="UM166" s="22"/>
      <c r="UN166" s="22"/>
      <c r="UO166" s="22"/>
      <c r="UP166" s="22"/>
      <c r="UQ166" s="22"/>
      <c r="UR166" s="22"/>
      <c r="US166" s="22"/>
      <c r="UT166" s="22"/>
      <c r="UU166" s="22"/>
      <c r="UV166" s="22"/>
      <c r="UW166" s="22"/>
      <c r="UX166" s="22"/>
      <c r="UY166" s="22"/>
      <c r="UZ166" s="22"/>
      <c r="VA166" s="22"/>
      <c r="VB166" s="22"/>
      <c r="VC166" s="22"/>
      <c r="VD166" s="22"/>
      <c r="VE166" s="22"/>
      <c r="VF166" s="22"/>
      <c r="VG166" s="22"/>
      <c r="VH166" s="22"/>
      <c r="VI166" s="22"/>
      <c r="VJ166" s="22"/>
      <c r="VK166" s="22"/>
      <c r="VL166" s="22"/>
      <c r="VM166" s="22"/>
      <c r="VN166" s="22"/>
      <c r="VO166" s="22"/>
      <c r="VP166" s="22"/>
      <c r="VQ166" s="22"/>
      <c r="VR166" s="22"/>
      <c r="VS166" s="22"/>
      <c r="VT166" s="22"/>
      <c r="VU166" s="22"/>
      <c r="VV166" s="22"/>
      <c r="VW166" s="22"/>
      <c r="VX166" s="22"/>
      <c r="VY166" s="22"/>
      <c r="VZ166" s="22"/>
      <c r="WA166" s="22"/>
      <c r="WB166" s="22"/>
      <c r="WC166" s="22"/>
      <c r="WD166" s="22"/>
      <c r="WE166" s="22"/>
      <c r="WF166" s="22"/>
      <c r="WG166" s="22"/>
      <c r="WH166" s="22"/>
      <c r="WI166" s="22"/>
      <c r="WJ166" s="22"/>
      <c r="WK166" s="22"/>
      <c r="WL166" s="22"/>
      <c r="WM166" s="22"/>
      <c r="WN166" s="22"/>
      <c r="WO166" s="22"/>
      <c r="WP166" s="22"/>
      <c r="WQ166" s="22"/>
      <c r="WR166" s="22"/>
      <c r="WS166" s="22"/>
      <c r="WT166" s="22"/>
      <c r="WU166" s="22"/>
      <c r="WV166" s="22"/>
      <c r="WW166" s="22"/>
      <c r="WX166" s="22"/>
      <c r="WY166" s="22"/>
      <c r="WZ166" s="22"/>
      <c r="XA166" s="22"/>
      <c r="XB166" s="22"/>
      <c r="XC166" s="22"/>
      <c r="XD166" s="22"/>
      <c r="XE166" s="22"/>
      <c r="XF166" s="22"/>
      <c r="XG166" s="22"/>
      <c r="XH166" s="22"/>
      <c r="XI166" s="22"/>
      <c r="XJ166" s="22"/>
      <c r="XK166" s="22"/>
      <c r="XL166" s="22"/>
      <c r="XM166" s="22"/>
      <c r="XN166" s="22"/>
      <c r="XO166" s="22"/>
      <c r="XP166" s="22"/>
      <c r="XQ166" s="22"/>
      <c r="XR166" s="22"/>
      <c r="XS166" s="22"/>
      <c r="XT166" s="22"/>
      <c r="XU166" s="22"/>
      <c r="XV166" s="22"/>
      <c r="XW166" s="22"/>
      <c r="XX166" s="22"/>
      <c r="XY166" s="22"/>
      <c r="XZ166" s="22"/>
      <c r="YA166" s="22"/>
      <c r="YB166" s="22"/>
      <c r="YC166" s="22"/>
      <c r="YD166" s="22"/>
      <c r="YE166" s="22"/>
      <c r="YF166" s="22"/>
      <c r="YG166" s="22"/>
      <c r="YH166" s="22"/>
      <c r="YI166" s="22"/>
      <c r="YJ166" s="22"/>
      <c r="YK166" s="22"/>
      <c r="YL166" s="22"/>
      <c r="YM166" s="22"/>
      <c r="YN166" s="22"/>
      <c r="YO166" s="22"/>
      <c r="YP166" s="22"/>
      <c r="YQ166" s="22"/>
      <c r="YR166" s="22"/>
      <c r="YS166" s="22"/>
      <c r="YT166" s="22"/>
      <c r="YU166" s="22"/>
      <c r="YV166" s="22"/>
      <c r="YW166" s="22"/>
      <c r="YX166" s="22"/>
      <c r="YY166" s="22"/>
      <c r="YZ166" s="22"/>
      <c r="ZA166" s="22"/>
      <c r="ZB166" s="22"/>
      <c r="ZC166" s="22"/>
      <c r="ZD166" s="22"/>
      <c r="ZE166" s="22"/>
      <c r="ZF166" s="22"/>
      <c r="ZG166" s="22"/>
      <c r="ZH166" s="22"/>
      <c r="ZI166" s="22"/>
      <c r="ZJ166" s="22"/>
      <c r="ZK166" s="22"/>
      <c r="ZL166" s="22"/>
      <c r="ZM166" s="22"/>
      <c r="ZN166" s="22"/>
      <c r="ZO166" s="22"/>
      <c r="ZP166" s="22"/>
      <c r="ZQ166" s="22"/>
      <c r="ZR166" s="22"/>
      <c r="ZS166" s="22"/>
      <c r="ZT166" s="22"/>
      <c r="ZU166" s="22"/>
      <c r="ZV166" s="22"/>
      <c r="ZW166" s="22"/>
      <c r="ZX166" s="22"/>
      <c r="ZY166" s="22"/>
      <c r="ZZ166" s="22"/>
      <c r="AAA166" s="22"/>
      <c r="AAB166" s="22"/>
      <c r="AAC166" s="22"/>
      <c r="AAD166" s="22"/>
      <c r="AAE166" s="22"/>
      <c r="AAF166" s="22"/>
      <c r="AAG166" s="22"/>
      <c r="AAH166" s="22"/>
      <c r="AAI166" s="22"/>
      <c r="AAJ166" s="22"/>
      <c r="AAK166" s="22"/>
      <c r="AAL166" s="22"/>
      <c r="AAM166" s="22"/>
      <c r="AAN166" s="22"/>
      <c r="AAO166" s="22"/>
      <c r="AAP166" s="22"/>
      <c r="AAQ166" s="22"/>
      <c r="AAR166" s="22"/>
      <c r="AAS166" s="22"/>
      <c r="AAT166" s="22"/>
      <c r="AAU166" s="22"/>
      <c r="AAV166" s="22"/>
      <c r="AAW166" s="22"/>
      <c r="AAX166" s="22"/>
      <c r="AAY166" s="22"/>
      <c r="AAZ166" s="22"/>
      <c r="ABA166" s="22"/>
      <c r="ABB166" s="22"/>
      <c r="ABC166" s="22"/>
      <c r="ABD166" s="22"/>
      <c r="ABE166" s="22"/>
      <c r="ABF166" s="22"/>
      <c r="ABG166" s="22"/>
      <c r="ABH166" s="22"/>
      <c r="ABI166" s="22"/>
      <c r="ABJ166" s="22"/>
      <c r="ABK166" s="22"/>
      <c r="ABL166" s="22"/>
      <c r="ABM166" s="22"/>
      <c r="ABN166" s="22"/>
      <c r="ABO166" s="22"/>
      <c r="ABP166" s="22"/>
      <c r="ABQ166" s="22"/>
      <c r="ABR166" s="22"/>
      <c r="ABS166" s="22"/>
      <c r="ABT166" s="22"/>
      <c r="ABU166" s="22"/>
      <c r="ABV166" s="22"/>
      <c r="ABW166" s="22"/>
      <c r="ABX166" s="22"/>
      <c r="ABY166" s="22"/>
      <c r="ABZ166" s="22"/>
      <c r="ACA166" s="22"/>
      <c r="ACB166" s="22"/>
      <c r="ACC166" s="22"/>
      <c r="ACD166" s="22"/>
      <c r="ACE166" s="22"/>
      <c r="ACF166" s="22"/>
      <c r="ACG166" s="22"/>
      <c r="ACH166" s="22"/>
      <c r="ACI166" s="22"/>
      <c r="ACJ166" s="22"/>
      <c r="ACK166" s="22"/>
      <c r="ACL166" s="22"/>
      <c r="ACM166" s="22"/>
      <c r="ACN166" s="22"/>
      <c r="ACO166" s="22"/>
      <c r="ACP166" s="22"/>
      <c r="ACQ166" s="22"/>
      <c r="ACR166" s="22"/>
      <c r="ACS166" s="22"/>
      <c r="ACT166" s="22"/>
      <c r="ACU166" s="22"/>
      <c r="ACV166" s="22"/>
      <c r="ACW166" s="22"/>
      <c r="ACX166" s="22"/>
      <c r="ACY166" s="22"/>
      <c r="ACZ166" s="22"/>
      <c r="ADA166" s="22"/>
      <c r="ADB166" s="22"/>
      <c r="ADC166" s="22"/>
      <c r="ADD166" s="22"/>
      <c r="ADE166" s="22"/>
      <c r="ADF166" s="22"/>
      <c r="ADG166" s="22"/>
      <c r="ADH166" s="22"/>
      <c r="ADI166" s="22"/>
      <c r="ADJ166" s="22"/>
      <c r="ADK166" s="22"/>
      <c r="ADL166" s="22"/>
      <c r="ADM166" s="22"/>
      <c r="ADN166" s="22"/>
      <c r="ADO166" s="22"/>
      <c r="ADP166" s="22"/>
      <c r="ADQ166" s="22"/>
      <c r="ADR166" s="22"/>
      <c r="ADS166" s="22"/>
      <c r="ADT166" s="22"/>
      <c r="ADU166" s="22"/>
      <c r="ADV166" s="22"/>
      <c r="ADW166" s="22"/>
      <c r="ADX166" s="22"/>
      <c r="ADY166" s="22"/>
      <c r="ADZ166" s="22"/>
      <c r="AEA166" s="22"/>
      <c r="AEB166" s="22"/>
      <c r="AEC166" s="22"/>
      <c r="AED166" s="22"/>
      <c r="AEE166" s="22"/>
      <c r="AEF166" s="22"/>
      <c r="AEG166" s="22"/>
      <c r="AEH166" s="22"/>
      <c r="AEI166" s="22"/>
      <c r="AEJ166" s="22"/>
      <c r="AEK166" s="22"/>
      <c r="AEL166" s="22"/>
      <c r="AEM166" s="22"/>
      <c r="AEN166" s="22"/>
      <c r="AEO166" s="22"/>
      <c r="AEP166" s="22"/>
      <c r="AEQ166" s="22"/>
      <c r="AER166" s="22"/>
      <c r="AES166" s="22"/>
      <c r="AET166" s="22"/>
      <c r="AEU166" s="22"/>
      <c r="AEV166" s="22"/>
      <c r="AEW166" s="22"/>
      <c r="AEX166" s="22"/>
      <c r="AEY166" s="22"/>
      <c r="AEZ166" s="22"/>
      <c r="AFA166" s="22"/>
      <c r="AFB166" s="22"/>
      <c r="AFC166" s="22"/>
      <c r="AFD166" s="22"/>
      <c r="AFE166" s="22"/>
      <c r="AFF166" s="22"/>
      <c r="AFG166" s="22"/>
      <c r="AFH166" s="22"/>
      <c r="AFI166" s="22"/>
      <c r="AFJ166" s="22"/>
      <c r="AFK166" s="22"/>
      <c r="AFL166" s="22"/>
      <c r="AFM166" s="22"/>
      <c r="AFN166" s="22"/>
      <c r="AFO166" s="22"/>
      <c r="AFP166" s="22"/>
      <c r="AFQ166" s="22"/>
      <c r="AFR166" s="22"/>
      <c r="AFS166" s="22"/>
      <c r="AFT166" s="22"/>
      <c r="AFU166" s="22"/>
      <c r="AFV166" s="22"/>
      <c r="AFW166" s="22"/>
      <c r="AFX166" s="22"/>
      <c r="AFY166" s="22"/>
      <c r="AFZ166" s="22"/>
      <c r="AGA166" s="22"/>
      <c r="AGB166" s="22"/>
      <c r="AGC166" s="22"/>
      <c r="AGD166" s="22"/>
      <c r="AGE166" s="22"/>
      <c r="AGF166" s="22"/>
      <c r="AGG166" s="22"/>
      <c r="AGH166" s="22"/>
      <c r="AGI166" s="22"/>
      <c r="AGJ166" s="22"/>
      <c r="AGK166" s="22"/>
      <c r="AGL166" s="22"/>
      <c r="AGM166" s="22"/>
      <c r="AGN166" s="22"/>
      <c r="AGO166" s="22"/>
      <c r="AGP166" s="22"/>
      <c r="AGQ166" s="22"/>
      <c r="AGR166" s="22"/>
      <c r="AGS166" s="22"/>
      <c r="AGT166" s="22"/>
      <c r="AGU166" s="22"/>
      <c r="AGV166" s="22"/>
      <c r="AGW166" s="22"/>
      <c r="AGX166" s="22"/>
      <c r="AGY166" s="22"/>
      <c r="AGZ166" s="22"/>
      <c r="AHA166" s="22"/>
      <c r="AHB166" s="22"/>
      <c r="AHC166" s="22"/>
      <c r="AHD166" s="22"/>
      <c r="AHE166" s="22"/>
      <c r="AHF166" s="22"/>
      <c r="AHG166" s="22"/>
      <c r="AHH166" s="22"/>
      <c r="AHI166" s="22"/>
      <c r="AHJ166" s="22"/>
      <c r="AHK166" s="22"/>
      <c r="AHL166" s="22"/>
      <c r="AHM166" s="22"/>
      <c r="AHN166" s="22"/>
      <c r="AHO166" s="22"/>
      <c r="AHP166" s="22"/>
      <c r="AHQ166" s="22"/>
      <c r="AHR166" s="22"/>
      <c r="AHS166" s="22"/>
      <c r="AHT166" s="22"/>
      <c r="AHU166" s="22"/>
      <c r="AHV166" s="22"/>
      <c r="AHW166" s="22"/>
      <c r="AHX166" s="22"/>
      <c r="AHY166" s="22"/>
      <c r="AHZ166" s="22"/>
      <c r="AIA166" s="22"/>
      <c r="AIB166" s="22"/>
      <c r="AIC166" s="22"/>
      <c r="AID166" s="22"/>
      <c r="AIE166" s="22"/>
      <c r="AIF166" s="22"/>
      <c r="AIG166" s="22"/>
      <c r="AIH166" s="22"/>
      <c r="AII166" s="22"/>
      <c r="AIJ166" s="22"/>
      <c r="AIK166" s="22"/>
      <c r="AIL166" s="22"/>
      <c r="AIM166" s="22"/>
      <c r="AIN166" s="22"/>
      <c r="AIO166" s="22"/>
      <c r="AIP166" s="22"/>
      <c r="AIQ166" s="22"/>
      <c r="AIR166" s="22"/>
      <c r="AIS166" s="22"/>
      <c r="AIT166" s="22"/>
      <c r="AIU166" s="22"/>
      <c r="AIV166" s="22"/>
      <c r="AIW166" s="22"/>
      <c r="AIX166" s="22"/>
      <c r="AIY166" s="22"/>
      <c r="AIZ166" s="22"/>
      <c r="AJA166" s="22"/>
      <c r="AJB166" s="22"/>
      <c r="AJC166" s="22"/>
      <c r="AJD166" s="22"/>
      <c r="AJE166" s="22"/>
      <c r="AJF166" s="22"/>
      <c r="AJG166" s="22"/>
      <c r="AJH166" s="22"/>
      <c r="AJI166" s="22"/>
      <c r="AJJ166" s="22"/>
      <c r="AJK166" s="22"/>
      <c r="AJL166" s="22"/>
      <c r="AJM166" s="22"/>
      <c r="AJN166" s="22"/>
      <c r="AJO166" s="22"/>
      <c r="AJP166" s="22"/>
      <c r="AJQ166" s="22"/>
      <c r="AJR166" s="22"/>
      <c r="AJS166" s="22"/>
      <c r="AJT166" s="22"/>
      <c r="AJU166" s="22"/>
      <c r="AJV166" s="22"/>
      <c r="AJW166" s="22"/>
      <c r="AJX166" s="22"/>
      <c r="AJY166" s="22"/>
      <c r="AJZ166" s="22"/>
      <c r="AKA166" s="22"/>
      <c r="AKB166" s="22"/>
      <c r="AKC166" s="22"/>
      <c r="AKD166" s="22"/>
      <c r="AKE166" s="22"/>
      <c r="AKF166" s="22"/>
      <c r="AKG166" s="22"/>
      <c r="AKH166" s="22"/>
      <c r="AKI166" s="22"/>
      <c r="AKJ166" s="22"/>
      <c r="AKK166" s="22"/>
      <c r="AKL166" s="22"/>
      <c r="AKM166" s="22"/>
      <c r="AKN166" s="22"/>
      <c r="AKO166" s="22"/>
      <c r="AKP166" s="22"/>
      <c r="AKQ166" s="22"/>
      <c r="AKR166" s="22"/>
      <c r="AKS166" s="22"/>
      <c r="AKT166" s="22"/>
      <c r="AKU166" s="22"/>
      <c r="AKV166" s="22"/>
      <c r="AKW166" s="22"/>
      <c r="AKX166" s="22"/>
      <c r="AKY166" s="22"/>
      <c r="AKZ166" s="22"/>
      <c r="ALA166" s="22"/>
      <c r="ALB166" s="22"/>
      <c r="ALC166" s="22"/>
      <c r="ALD166" s="22"/>
      <c r="ALE166" s="22"/>
      <c r="ALF166" s="22"/>
      <c r="ALG166" s="22"/>
      <c r="ALH166" s="22"/>
      <c r="ALI166" s="22"/>
      <c r="ALJ166" s="22"/>
      <c r="ALK166" s="22"/>
      <c r="ALL166" s="22"/>
      <c r="ALM166" s="22"/>
      <c r="ALN166" s="22"/>
      <c r="ALO166" s="22"/>
      <c r="ALP166" s="22"/>
      <c r="ALQ166" s="22"/>
      <c r="ALR166" s="22"/>
      <c r="ALS166" s="22"/>
      <c r="ALT166" s="22"/>
      <c r="ALU166" s="22"/>
      <c r="ALV166" s="22"/>
      <c r="ALW166" s="22"/>
      <c r="ALX166" s="22"/>
      <c r="ALY166" s="22"/>
      <c r="ALZ166" s="22"/>
      <c r="AMA166" s="22"/>
      <c r="AMB166" s="22"/>
      <c r="AMC166" s="22"/>
      <c r="AMD166" s="22"/>
      <c r="AME166" s="22"/>
      <c r="AMF166" s="22"/>
      <c r="AMG166" s="22"/>
      <c r="AMH166" s="22"/>
      <c r="AMI166" s="22"/>
      <c r="AMJ166" s="22"/>
      <c r="AMK166" s="22"/>
      <c r="AML166" s="22"/>
      <c r="AMM166" s="22"/>
      <c r="AMN166" s="22"/>
      <c r="AMO166" s="22"/>
      <c r="AMP166" s="22"/>
      <c r="AMQ166" s="22"/>
      <c r="AMR166" s="22"/>
      <c r="AMS166" s="22"/>
      <c r="AMT166" s="22"/>
      <c r="AMU166" s="22"/>
      <c r="AMV166" s="22"/>
      <c r="AMW166" s="22"/>
      <c r="AMX166" s="22"/>
      <c r="AMY166" s="22"/>
      <c r="AMZ166" s="22"/>
      <c r="ANA166" s="22"/>
      <c r="ANB166" s="22"/>
      <c r="ANC166" s="22"/>
      <c r="AND166" s="22"/>
      <c r="ANE166" s="22"/>
      <c r="ANF166" s="22"/>
      <c r="ANG166" s="22"/>
      <c r="ANH166" s="22"/>
      <c r="ANI166" s="22"/>
      <c r="ANJ166" s="22"/>
      <c r="ANK166" s="22"/>
      <c r="ANL166" s="22"/>
      <c r="ANM166" s="22"/>
      <c r="ANN166" s="22"/>
      <c r="ANO166" s="22"/>
      <c r="ANP166" s="22"/>
      <c r="ANQ166" s="22"/>
      <c r="ANR166" s="22"/>
      <c r="ANS166" s="22"/>
      <c r="ANT166" s="22"/>
      <c r="ANU166" s="22"/>
      <c r="ANV166" s="22"/>
      <c r="ANW166" s="22"/>
      <c r="ANX166" s="22"/>
      <c r="ANY166" s="22"/>
      <c r="ANZ166" s="22"/>
      <c r="AOA166" s="22"/>
      <c r="AOB166" s="22"/>
      <c r="AOC166" s="22"/>
      <c r="AOD166" s="22"/>
      <c r="AOE166" s="22"/>
      <c r="AOF166" s="22"/>
      <c r="AOG166" s="22"/>
      <c r="AOH166" s="22"/>
      <c r="AOI166" s="22"/>
      <c r="AOJ166" s="22"/>
      <c r="AOK166" s="22"/>
      <c r="AOL166" s="22"/>
      <c r="AOM166" s="22"/>
      <c r="AON166" s="22"/>
      <c r="AOO166" s="22"/>
      <c r="AOP166" s="22"/>
      <c r="AOQ166" s="22"/>
      <c r="AOR166" s="22"/>
      <c r="AOS166" s="22"/>
      <c r="AOT166" s="22"/>
      <c r="AOU166" s="22"/>
      <c r="AOV166" s="22"/>
      <c r="AOW166" s="22"/>
      <c r="AOX166" s="22"/>
      <c r="AOY166" s="22"/>
      <c r="AOZ166" s="22"/>
      <c r="APA166" s="22"/>
      <c r="APB166" s="22"/>
      <c r="APC166" s="22"/>
      <c r="APD166" s="22"/>
      <c r="APE166" s="22"/>
      <c r="APF166" s="22"/>
      <c r="APG166" s="22"/>
      <c r="APH166" s="22"/>
      <c r="API166" s="22"/>
      <c r="APJ166" s="22"/>
      <c r="APK166" s="22"/>
      <c r="APL166" s="22"/>
      <c r="APM166" s="22"/>
      <c r="APN166" s="22"/>
      <c r="APO166" s="22"/>
      <c r="APP166" s="22"/>
      <c r="APQ166" s="22"/>
      <c r="APR166" s="22"/>
      <c r="APS166" s="22"/>
      <c r="APT166" s="22"/>
      <c r="APU166" s="22"/>
      <c r="APV166" s="22"/>
      <c r="APW166" s="22"/>
      <c r="APX166" s="22"/>
      <c r="APY166" s="22"/>
      <c r="APZ166" s="22"/>
      <c r="AQA166" s="22"/>
      <c r="AQB166" s="22"/>
      <c r="AQC166" s="22"/>
      <c r="AQD166" s="22"/>
      <c r="AQE166" s="22"/>
      <c r="AQF166" s="22"/>
      <c r="AQG166" s="22"/>
      <c r="AQH166" s="22"/>
      <c r="AQI166" s="22"/>
      <c r="AQJ166" s="22"/>
      <c r="AQK166" s="22"/>
      <c r="AQL166" s="22"/>
      <c r="AQM166" s="22"/>
      <c r="AQN166" s="22"/>
      <c r="AQO166" s="22"/>
      <c r="AQP166" s="22"/>
      <c r="AQQ166" s="22"/>
      <c r="AQR166" s="22"/>
      <c r="AQS166" s="22"/>
      <c r="AQT166" s="22"/>
      <c r="AQU166" s="22"/>
      <c r="AQV166" s="22"/>
      <c r="AQW166" s="22"/>
      <c r="AQX166" s="22"/>
      <c r="AQY166" s="22"/>
      <c r="AQZ166" s="22"/>
      <c r="ARA166" s="22"/>
      <c r="ARB166" s="22"/>
      <c r="ARC166" s="22"/>
      <c r="ARD166" s="22"/>
      <c r="ARE166" s="22"/>
      <c r="ARF166" s="22"/>
      <c r="ARG166" s="22"/>
      <c r="ARH166" s="22"/>
      <c r="ARI166" s="22"/>
      <c r="ARJ166" s="22"/>
      <c r="ARK166" s="22"/>
      <c r="ARL166" s="22"/>
      <c r="ARM166" s="22"/>
      <c r="ARN166" s="22"/>
      <c r="ARO166" s="22"/>
      <c r="ARP166" s="22"/>
      <c r="ARQ166" s="22"/>
      <c r="ARR166" s="22"/>
      <c r="ARS166" s="22"/>
      <c r="ART166" s="22"/>
      <c r="ARU166" s="22"/>
      <c r="ARV166" s="22"/>
      <c r="ARW166" s="22"/>
      <c r="ARX166" s="22"/>
      <c r="ARY166" s="22"/>
      <c r="ARZ166" s="22"/>
      <c r="ASA166" s="22"/>
      <c r="ASB166" s="22"/>
      <c r="ASC166" s="22"/>
      <c r="ASD166" s="22"/>
      <c r="ASE166" s="22"/>
      <c r="ASF166" s="22"/>
      <c r="ASG166" s="22"/>
      <c r="ASH166" s="22"/>
      <c r="ASI166" s="22"/>
      <c r="ASJ166" s="22"/>
      <c r="ASK166" s="22"/>
      <c r="ASL166" s="22"/>
      <c r="ASM166" s="22"/>
      <c r="ASN166" s="22"/>
      <c r="ASO166" s="22"/>
      <c r="ASP166" s="22"/>
      <c r="ASQ166" s="22"/>
      <c r="ASR166" s="22"/>
      <c r="ASS166" s="22"/>
      <c r="AST166" s="22"/>
      <c r="ASU166" s="22"/>
      <c r="ASV166" s="22"/>
      <c r="ASW166" s="22"/>
      <c r="ASX166" s="22"/>
      <c r="ASY166" s="22"/>
      <c r="ASZ166" s="22"/>
      <c r="ATA166" s="22"/>
      <c r="ATB166" s="22"/>
      <c r="ATC166" s="22"/>
      <c r="ATD166" s="22"/>
      <c r="ATE166" s="22"/>
      <c r="ATF166" s="22"/>
      <c r="ATG166" s="22"/>
      <c r="ATH166" s="22"/>
      <c r="ATI166" s="22"/>
      <c r="ATJ166" s="22"/>
      <c r="ATK166" s="22"/>
      <c r="ATL166" s="22"/>
      <c r="ATM166" s="22"/>
      <c r="ATN166" s="22"/>
      <c r="ATO166" s="22"/>
      <c r="ATP166" s="22"/>
      <c r="ATQ166" s="22"/>
      <c r="ATR166" s="22"/>
      <c r="ATS166" s="22"/>
      <c r="ATT166" s="22"/>
      <c r="ATU166" s="22"/>
      <c r="ATV166" s="22"/>
      <c r="ATW166" s="22"/>
      <c r="ATX166" s="22"/>
      <c r="ATY166" s="22"/>
      <c r="ATZ166" s="22"/>
      <c r="AUA166" s="22"/>
      <c r="AUB166" s="22"/>
      <c r="AUC166" s="22"/>
      <c r="AUD166" s="22"/>
      <c r="AUE166" s="22"/>
      <c r="AUF166" s="22"/>
      <c r="AUG166" s="22"/>
      <c r="AUH166" s="22"/>
      <c r="AUI166" s="22"/>
      <c r="AUJ166" s="22"/>
      <c r="AUK166" s="22"/>
      <c r="AUL166" s="22"/>
      <c r="AUM166" s="22"/>
      <c r="AUN166" s="22"/>
      <c r="AUO166" s="22"/>
      <c r="AUP166" s="22"/>
      <c r="AUQ166" s="22"/>
      <c r="AUR166" s="22"/>
      <c r="AUS166" s="22"/>
      <c r="AUT166" s="22"/>
      <c r="AUU166" s="22"/>
      <c r="AUV166" s="22"/>
      <c r="AUW166" s="22"/>
      <c r="AUX166" s="22"/>
      <c r="AUY166" s="22"/>
      <c r="AUZ166" s="22"/>
      <c r="AVA166" s="22"/>
      <c r="AVB166" s="22"/>
      <c r="AVC166" s="22"/>
      <c r="AVD166" s="22"/>
      <c r="AVE166" s="22"/>
      <c r="AVF166" s="22"/>
      <c r="AVG166" s="22"/>
      <c r="AVH166" s="22"/>
      <c r="AVI166" s="22"/>
      <c r="AVJ166" s="22"/>
      <c r="AVK166" s="22"/>
      <c r="AVL166" s="22"/>
      <c r="AVM166" s="22"/>
      <c r="AVN166" s="22"/>
      <c r="AVO166" s="22"/>
      <c r="AVP166" s="22"/>
      <c r="AVQ166" s="22"/>
      <c r="AVR166" s="22"/>
      <c r="AVS166" s="22"/>
      <c r="AVT166" s="22"/>
      <c r="AVU166" s="22"/>
      <c r="AVV166" s="22"/>
      <c r="AVW166" s="22"/>
      <c r="AVX166" s="22"/>
      <c r="AVY166" s="22"/>
      <c r="AVZ166" s="22"/>
      <c r="AWA166" s="22"/>
      <c r="AWB166" s="22"/>
      <c r="AWC166" s="22"/>
      <c r="AWD166" s="22"/>
      <c r="AWE166" s="22"/>
      <c r="AWF166" s="22"/>
      <c r="AWG166" s="22"/>
      <c r="AWH166" s="22"/>
      <c r="AWI166" s="22"/>
      <c r="AWJ166" s="22"/>
      <c r="AWK166" s="22"/>
      <c r="AWL166" s="22"/>
      <c r="AWM166" s="22"/>
      <c r="AWN166" s="22"/>
      <c r="AWO166" s="22"/>
      <c r="AWP166" s="22"/>
      <c r="AWQ166" s="22"/>
      <c r="AWR166" s="22"/>
      <c r="AWS166" s="22"/>
      <c r="AWT166" s="22"/>
      <c r="AWU166" s="22"/>
      <c r="AWV166" s="22"/>
      <c r="AWW166" s="22"/>
      <c r="AWX166" s="22"/>
      <c r="AWY166" s="22"/>
      <c r="AWZ166" s="22"/>
      <c r="AXA166" s="22"/>
      <c r="AXB166" s="22"/>
      <c r="AXC166" s="22"/>
      <c r="AXD166" s="22"/>
      <c r="AXE166" s="22"/>
      <c r="AXF166" s="22"/>
      <c r="AXG166" s="22"/>
      <c r="AXH166" s="22"/>
      <c r="AXI166" s="22"/>
      <c r="AXJ166" s="22"/>
      <c r="AXK166" s="22"/>
      <c r="AXL166" s="22"/>
      <c r="AXM166" s="22"/>
      <c r="AXN166" s="22"/>
      <c r="AXO166" s="22"/>
      <c r="AXP166" s="22"/>
      <c r="AXQ166" s="22"/>
      <c r="AXR166" s="22"/>
      <c r="AXS166" s="22"/>
      <c r="AXT166" s="22"/>
      <c r="AXU166" s="22"/>
      <c r="AXV166" s="22"/>
      <c r="AXW166" s="22"/>
      <c r="AXX166" s="22"/>
      <c r="AXY166" s="22"/>
      <c r="AXZ166" s="22"/>
      <c r="AYA166" s="22"/>
      <c r="AYB166" s="22"/>
      <c r="AYC166" s="22"/>
      <c r="AYD166" s="22"/>
      <c r="AYE166" s="22"/>
      <c r="AYF166" s="22"/>
      <c r="AYG166" s="22"/>
      <c r="AYH166" s="22"/>
      <c r="AYI166" s="22"/>
      <c r="AYJ166" s="22"/>
      <c r="AYK166" s="22"/>
      <c r="AYL166" s="22"/>
      <c r="AYM166" s="22"/>
      <c r="AYN166" s="22"/>
      <c r="AYO166" s="22"/>
      <c r="AYP166" s="22"/>
      <c r="AYQ166" s="22"/>
      <c r="AYR166" s="22"/>
      <c r="AYS166" s="22"/>
      <c r="AYT166" s="22"/>
      <c r="AYU166" s="22"/>
      <c r="AYV166" s="22"/>
      <c r="AYW166" s="22"/>
      <c r="AYX166" s="22"/>
      <c r="AYY166" s="22"/>
      <c r="AYZ166" s="22"/>
      <c r="AZA166" s="22"/>
      <c r="AZB166" s="22"/>
      <c r="AZC166" s="22"/>
      <c r="AZD166" s="22"/>
      <c r="AZE166" s="22"/>
      <c r="AZF166" s="22"/>
      <c r="AZG166" s="22"/>
      <c r="AZH166" s="22"/>
      <c r="AZI166" s="22"/>
      <c r="AZJ166" s="22"/>
      <c r="AZK166" s="22"/>
      <c r="AZL166" s="22"/>
      <c r="AZM166" s="22"/>
      <c r="AZN166" s="22"/>
      <c r="AZO166" s="22"/>
      <c r="AZP166" s="22"/>
      <c r="AZQ166" s="22"/>
      <c r="AZR166" s="22"/>
      <c r="AZS166" s="22"/>
      <c r="AZT166" s="22"/>
      <c r="AZU166" s="22"/>
      <c r="AZV166" s="22"/>
      <c r="AZW166" s="22"/>
      <c r="AZX166" s="22"/>
      <c r="AZY166" s="22"/>
      <c r="AZZ166" s="22"/>
      <c r="BAA166" s="22"/>
      <c r="BAB166" s="22"/>
      <c r="BAC166" s="22"/>
      <c r="BAD166" s="22"/>
      <c r="BAE166" s="22"/>
      <c r="BAF166" s="22"/>
      <c r="BAG166" s="22"/>
      <c r="BAH166" s="22"/>
      <c r="BAI166" s="22"/>
      <c r="BAJ166" s="22"/>
      <c r="BAK166" s="22"/>
      <c r="BAL166" s="22"/>
      <c r="BAM166" s="22"/>
      <c r="BAN166" s="22"/>
      <c r="BAO166" s="22"/>
      <c r="BAP166" s="22"/>
      <c r="BAQ166" s="22"/>
      <c r="BAR166" s="22"/>
      <c r="BAS166" s="22"/>
      <c r="BAT166" s="22"/>
      <c r="BAU166" s="22"/>
      <c r="BAV166" s="22"/>
      <c r="BAW166" s="22"/>
      <c r="BAX166" s="22"/>
      <c r="BAY166" s="22"/>
      <c r="BAZ166" s="22"/>
      <c r="BBA166" s="22"/>
      <c r="BBB166" s="22"/>
      <c r="BBC166" s="22"/>
      <c r="BBD166" s="22"/>
      <c r="BBE166" s="22"/>
      <c r="BBF166" s="22"/>
      <c r="BBG166" s="22"/>
      <c r="BBH166" s="22"/>
      <c r="BBI166" s="22"/>
      <c r="BBJ166" s="22"/>
      <c r="BBK166" s="22"/>
      <c r="BBL166" s="22"/>
      <c r="BBM166" s="22"/>
      <c r="BBN166" s="22"/>
      <c r="BBO166" s="22"/>
      <c r="BBP166" s="22"/>
      <c r="BBQ166" s="22"/>
      <c r="BBR166" s="22"/>
      <c r="BBS166" s="22"/>
      <c r="BBT166" s="22"/>
      <c r="BBU166" s="22"/>
      <c r="BBV166" s="22"/>
      <c r="BBW166" s="22"/>
      <c r="BBX166" s="22"/>
      <c r="BBY166" s="22"/>
      <c r="BBZ166" s="22"/>
      <c r="BCA166" s="22"/>
      <c r="BCB166" s="22"/>
      <c r="BCC166" s="22"/>
      <c r="BCD166" s="22"/>
      <c r="BCE166" s="22"/>
      <c r="BCF166" s="22"/>
      <c r="BCG166" s="22"/>
      <c r="BCH166" s="22"/>
      <c r="BCI166" s="22"/>
      <c r="BCJ166" s="22"/>
      <c r="BCK166" s="22"/>
      <c r="BCL166" s="22"/>
      <c r="BCM166" s="22"/>
      <c r="BCN166" s="22"/>
      <c r="BCO166" s="22"/>
      <c r="BCP166" s="22"/>
      <c r="BCQ166" s="22"/>
      <c r="BCR166" s="22"/>
      <c r="BCS166" s="22"/>
      <c r="BCT166" s="22"/>
      <c r="BCU166" s="22"/>
      <c r="BCV166" s="22"/>
      <c r="BCW166" s="22"/>
      <c r="BCX166" s="22"/>
      <c r="BCY166" s="22"/>
      <c r="BCZ166" s="22"/>
      <c r="BDA166" s="22"/>
      <c r="BDB166" s="22"/>
      <c r="BDC166" s="22"/>
      <c r="BDD166" s="22"/>
      <c r="BDE166" s="22"/>
      <c r="BDF166" s="22"/>
      <c r="BDG166" s="22"/>
      <c r="BDH166" s="22"/>
      <c r="BDI166" s="22"/>
      <c r="BDJ166" s="22"/>
      <c r="BDK166" s="22"/>
      <c r="BDL166" s="22"/>
      <c r="BDM166" s="22"/>
      <c r="BDN166" s="22"/>
      <c r="BDO166" s="22"/>
      <c r="BDP166" s="22"/>
      <c r="BDQ166" s="22"/>
      <c r="BDR166" s="22"/>
      <c r="BDS166" s="22"/>
      <c r="BDT166" s="22"/>
      <c r="BDU166" s="22"/>
      <c r="BDV166" s="22"/>
      <c r="BDW166" s="22"/>
      <c r="BDX166" s="22"/>
      <c r="BDY166" s="22"/>
      <c r="BDZ166" s="22"/>
      <c r="BEA166" s="22"/>
      <c r="BEB166" s="22"/>
      <c r="BEC166" s="22"/>
      <c r="BED166" s="22"/>
      <c r="BEE166" s="22"/>
      <c r="BEF166" s="22"/>
      <c r="BEG166" s="22"/>
      <c r="BEH166" s="22"/>
      <c r="BEI166" s="22"/>
      <c r="BEJ166" s="22"/>
      <c r="BEK166" s="22"/>
      <c r="BEL166" s="22"/>
      <c r="BEM166" s="22"/>
      <c r="BEN166" s="22"/>
      <c r="BEO166" s="22"/>
      <c r="BEP166" s="22"/>
      <c r="BEQ166" s="22"/>
      <c r="BER166" s="22"/>
      <c r="BES166" s="22"/>
      <c r="BET166" s="22"/>
      <c r="BEU166" s="22"/>
      <c r="BEV166" s="22"/>
      <c r="BEW166" s="22"/>
      <c r="BEX166" s="22"/>
      <c r="BEY166" s="22"/>
      <c r="BEZ166" s="22"/>
      <c r="BFA166" s="22"/>
      <c r="BFB166" s="22"/>
      <c r="BFC166" s="22"/>
      <c r="BFD166" s="22"/>
      <c r="BFE166" s="22"/>
      <c r="BFF166" s="22"/>
      <c r="BFG166" s="22"/>
      <c r="BFH166" s="22"/>
      <c r="BFI166" s="22"/>
      <c r="BFJ166" s="22"/>
      <c r="BFK166" s="22"/>
      <c r="BFL166" s="22"/>
      <c r="BFM166" s="22"/>
      <c r="BFN166" s="22"/>
      <c r="BFO166" s="22"/>
      <c r="BFP166" s="22"/>
      <c r="BFQ166" s="22"/>
      <c r="BFR166" s="22"/>
      <c r="BFS166" s="22"/>
      <c r="BFT166" s="22"/>
      <c r="BFU166" s="22"/>
      <c r="BFV166" s="22"/>
      <c r="BFW166" s="22"/>
      <c r="BFX166" s="22"/>
      <c r="BFY166" s="22"/>
      <c r="BFZ166" s="22"/>
      <c r="BGA166" s="22"/>
      <c r="BGB166" s="22"/>
      <c r="BGC166" s="22"/>
      <c r="BGD166" s="22"/>
      <c r="BGE166" s="22"/>
      <c r="BGF166" s="22"/>
      <c r="BGG166" s="22"/>
      <c r="BGH166" s="22"/>
      <c r="BGI166" s="22"/>
      <c r="BGJ166" s="22"/>
      <c r="BGK166" s="22"/>
      <c r="BGL166" s="22"/>
      <c r="BGM166" s="22"/>
      <c r="BGN166" s="22"/>
      <c r="BGO166" s="22"/>
      <c r="BGP166" s="22"/>
      <c r="BGQ166" s="22"/>
      <c r="BGR166" s="22"/>
      <c r="BGS166" s="22"/>
      <c r="BGT166" s="22"/>
      <c r="BGU166" s="22"/>
      <c r="BGV166" s="22"/>
      <c r="BGW166" s="22"/>
      <c r="BGX166" s="22"/>
      <c r="BGY166" s="22"/>
      <c r="BGZ166" s="22"/>
      <c r="BHA166" s="22"/>
      <c r="BHB166" s="22"/>
      <c r="BHC166" s="22"/>
      <c r="BHD166" s="22"/>
      <c r="BHE166" s="22"/>
      <c r="BHF166" s="22"/>
      <c r="BHG166" s="22"/>
      <c r="BHH166" s="22"/>
      <c r="BHI166" s="22"/>
      <c r="BHJ166" s="22"/>
      <c r="BHK166" s="22"/>
      <c r="BHL166" s="22"/>
      <c r="BHM166" s="22"/>
      <c r="BHN166" s="22"/>
      <c r="BHO166" s="22"/>
      <c r="BHP166" s="22"/>
      <c r="BHQ166" s="22"/>
      <c r="BHR166" s="22"/>
      <c r="BHS166" s="22"/>
      <c r="BHT166" s="22"/>
      <c r="BHU166" s="22"/>
      <c r="BHV166" s="22"/>
      <c r="BHW166" s="22"/>
      <c r="BHX166" s="22"/>
      <c r="BHY166" s="22"/>
      <c r="BHZ166" s="22"/>
      <c r="BIA166" s="22"/>
      <c r="BIB166" s="22"/>
      <c r="BIC166" s="22"/>
      <c r="BID166" s="22"/>
      <c r="BIE166" s="22"/>
      <c r="BIF166" s="22"/>
      <c r="BIG166" s="22"/>
      <c r="BIH166" s="22"/>
      <c r="BII166" s="22"/>
      <c r="BIJ166" s="22"/>
      <c r="BIK166" s="22"/>
      <c r="BIL166" s="22"/>
      <c r="BIM166" s="22"/>
      <c r="BIN166" s="22"/>
      <c r="BIO166" s="22"/>
      <c r="BIP166" s="22"/>
      <c r="BIQ166" s="22"/>
      <c r="BIR166" s="22"/>
      <c r="BIS166" s="22"/>
      <c r="BIT166" s="22"/>
      <c r="BIU166" s="22"/>
      <c r="BIV166" s="22"/>
      <c r="BIW166" s="22"/>
      <c r="BIX166" s="22"/>
      <c r="BIY166" s="22"/>
      <c r="BIZ166" s="22"/>
      <c r="BJA166" s="22"/>
      <c r="BJB166" s="22"/>
      <c r="BJC166" s="22"/>
      <c r="BJD166" s="22"/>
      <c r="BJE166" s="22"/>
      <c r="BJF166" s="22"/>
      <c r="BJG166" s="22"/>
      <c r="BJH166" s="22"/>
      <c r="BJI166" s="22"/>
      <c r="BJJ166" s="22"/>
      <c r="BJK166" s="22"/>
      <c r="BJL166" s="22"/>
      <c r="BJM166" s="22"/>
      <c r="BJN166" s="22"/>
      <c r="BJO166" s="22"/>
      <c r="BJP166" s="22"/>
      <c r="BJQ166" s="22"/>
      <c r="BJR166" s="22"/>
      <c r="BJS166" s="22"/>
      <c r="BJT166" s="22"/>
      <c r="BJU166" s="22"/>
      <c r="BJV166" s="22"/>
      <c r="BJW166" s="22"/>
      <c r="BJX166" s="22"/>
      <c r="BJY166" s="22"/>
      <c r="BJZ166" s="22"/>
      <c r="BKA166" s="22"/>
      <c r="BKB166" s="22"/>
      <c r="BKC166" s="22"/>
      <c r="BKD166" s="22"/>
      <c r="BKE166" s="22"/>
      <c r="BKF166" s="22"/>
      <c r="BKG166" s="22"/>
      <c r="BKH166" s="22"/>
      <c r="BKI166" s="22"/>
      <c r="BKJ166" s="22"/>
      <c r="BKK166" s="22"/>
      <c r="BKL166" s="22"/>
      <c r="BKM166" s="22"/>
      <c r="BKN166" s="22"/>
      <c r="BKO166" s="22"/>
      <c r="BKP166" s="22"/>
      <c r="BKQ166" s="22"/>
      <c r="BKR166" s="22"/>
      <c r="BKS166" s="22"/>
      <c r="BKT166" s="22"/>
      <c r="BKU166" s="22"/>
      <c r="BKV166" s="22"/>
      <c r="BKW166" s="22"/>
      <c r="BKX166" s="22"/>
      <c r="BKY166" s="22"/>
      <c r="BKZ166" s="22"/>
      <c r="BLA166" s="22"/>
      <c r="BLB166" s="22"/>
      <c r="BLC166" s="22"/>
      <c r="BLD166" s="22"/>
      <c r="BLE166" s="22"/>
      <c r="BLF166" s="22"/>
      <c r="BLG166" s="22"/>
      <c r="BLH166" s="22"/>
      <c r="BLI166" s="22"/>
      <c r="BLJ166" s="22"/>
      <c r="BLK166" s="22"/>
      <c r="BLL166" s="22"/>
      <c r="BLM166" s="22"/>
      <c r="BLN166" s="22"/>
      <c r="BLO166" s="22"/>
      <c r="BLP166" s="22"/>
      <c r="BLQ166" s="22"/>
      <c r="BLR166" s="22"/>
      <c r="BLS166" s="22"/>
      <c r="BLT166" s="22"/>
      <c r="BLU166" s="22"/>
      <c r="BLV166" s="22"/>
      <c r="BLW166" s="22"/>
      <c r="BLX166" s="22"/>
      <c r="BLY166" s="22"/>
      <c r="BLZ166" s="22"/>
      <c r="BMA166" s="22"/>
      <c r="BMB166" s="22"/>
      <c r="BMC166" s="22"/>
      <c r="BMD166" s="22"/>
      <c r="BME166" s="22"/>
      <c r="BMF166" s="22"/>
      <c r="BMG166" s="22"/>
      <c r="BMH166" s="22"/>
      <c r="BMI166" s="22"/>
      <c r="BMJ166" s="22"/>
      <c r="BMK166" s="22"/>
      <c r="BML166" s="22"/>
      <c r="BMM166" s="22"/>
      <c r="BMN166" s="22"/>
      <c r="BMO166" s="22"/>
      <c r="BMP166" s="22"/>
      <c r="BMQ166" s="22"/>
      <c r="BMR166" s="22"/>
      <c r="BMS166" s="22"/>
      <c r="BMT166" s="22"/>
      <c r="BMU166" s="22"/>
      <c r="BMV166" s="22"/>
      <c r="BMW166" s="22"/>
      <c r="BMX166" s="22"/>
      <c r="BMY166" s="22"/>
      <c r="BMZ166" s="22"/>
      <c r="BNA166" s="22"/>
      <c r="BNB166" s="22"/>
      <c r="BNC166" s="22"/>
      <c r="BND166" s="22"/>
      <c r="BNE166" s="22"/>
      <c r="BNF166" s="22"/>
      <c r="BNG166" s="22"/>
      <c r="BNH166" s="22"/>
      <c r="BNI166" s="22"/>
      <c r="BNJ166" s="22"/>
      <c r="BNK166" s="22"/>
      <c r="BNL166" s="22"/>
      <c r="BNM166" s="22"/>
      <c r="BNN166" s="22"/>
      <c r="BNO166" s="22"/>
      <c r="BNP166" s="22"/>
      <c r="BNQ166" s="22"/>
      <c r="BNR166" s="22"/>
      <c r="BNS166" s="22"/>
      <c r="BNT166" s="22"/>
      <c r="BNU166" s="22"/>
      <c r="BNV166" s="22"/>
      <c r="BNW166" s="22"/>
      <c r="BNX166" s="22"/>
      <c r="BNY166" s="22"/>
      <c r="BNZ166" s="22"/>
      <c r="BOA166" s="22"/>
      <c r="BOB166" s="22"/>
      <c r="BOC166" s="22"/>
      <c r="BOD166" s="22"/>
      <c r="BOE166" s="22"/>
      <c r="BOF166" s="22"/>
      <c r="BOG166" s="22"/>
      <c r="BOH166" s="22"/>
      <c r="BOI166" s="22"/>
      <c r="BOJ166" s="22"/>
      <c r="BOK166" s="22"/>
      <c r="BOL166" s="22"/>
      <c r="BOM166" s="22"/>
      <c r="BON166" s="22"/>
      <c r="BOO166" s="22"/>
      <c r="BOP166" s="22"/>
      <c r="BOQ166" s="22"/>
      <c r="BOR166" s="22"/>
      <c r="BOS166" s="22"/>
      <c r="BOT166" s="22"/>
      <c r="BOU166" s="22"/>
      <c r="BOV166" s="22"/>
      <c r="BOW166" s="22"/>
      <c r="BOX166" s="22"/>
      <c r="BOY166" s="22"/>
      <c r="BOZ166" s="22"/>
      <c r="BPA166" s="22"/>
      <c r="BPB166" s="22"/>
      <c r="BPC166" s="22"/>
      <c r="BPD166" s="22"/>
      <c r="BPE166" s="22"/>
      <c r="BPF166" s="22"/>
      <c r="BPG166" s="22"/>
      <c r="BPH166" s="22"/>
      <c r="BPI166" s="22"/>
      <c r="BPJ166" s="22"/>
      <c r="BPK166" s="22"/>
      <c r="BPL166" s="22"/>
      <c r="BPM166" s="22"/>
      <c r="BPN166" s="22"/>
      <c r="BPO166" s="22"/>
      <c r="BPP166" s="22"/>
      <c r="BPQ166" s="22"/>
      <c r="BPR166" s="22"/>
      <c r="BPS166" s="22"/>
      <c r="BPT166" s="22"/>
      <c r="BPU166" s="22"/>
      <c r="BPV166" s="22"/>
      <c r="BPW166" s="22"/>
      <c r="BPX166" s="22"/>
      <c r="BPY166" s="22"/>
      <c r="BPZ166" s="22"/>
      <c r="BQA166" s="22"/>
      <c r="BQB166" s="22"/>
      <c r="BQC166" s="22"/>
      <c r="BQD166" s="22"/>
      <c r="BQE166" s="22"/>
      <c r="BQF166" s="22"/>
      <c r="BQG166" s="22"/>
      <c r="BQH166" s="22"/>
      <c r="BQI166" s="22"/>
      <c r="BQJ166" s="22"/>
      <c r="BQK166" s="22"/>
      <c r="BQL166" s="22"/>
      <c r="BQM166" s="22"/>
      <c r="BQN166" s="22"/>
      <c r="BQO166" s="22"/>
      <c r="BQP166" s="22"/>
      <c r="BQQ166" s="22"/>
      <c r="BQR166" s="22"/>
      <c r="BQS166" s="22"/>
      <c r="BQT166" s="22"/>
      <c r="BQU166" s="22"/>
      <c r="BQV166" s="22"/>
      <c r="BQW166" s="22"/>
      <c r="BQX166" s="22"/>
      <c r="BQY166" s="22"/>
      <c r="BQZ166" s="22"/>
      <c r="BRA166" s="22"/>
      <c r="BRB166" s="22"/>
      <c r="BRC166" s="22"/>
      <c r="BRD166" s="22"/>
      <c r="BRE166" s="22"/>
      <c r="BRF166" s="22"/>
      <c r="BRG166" s="22"/>
      <c r="BRH166" s="22"/>
      <c r="BRI166" s="22"/>
      <c r="BRJ166" s="22"/>
      <c r="BRK166" s="22"/>
      <c r="BRL166" s="22"/>
      <c r="BRM166" s="22"/>
      <c r="BRN166" s="22"/>
      <c r="BRO166" s="22"/>
      <c r="BRP166" s="22"/>
      <c r="BRQ166" s="22"/>
      <c r="BRR166" s="22"/>
      <c r="BRS166" s="22"/>
      <c r="BRT166" s="22"/>
      <c r="BRU166" s="22"/>
      <c r="BRV166" s="22"/>
      <c r="BRW166" s="22"/>
      <c r="BRX166" s="22"/>
      <c r="BRY166" s="22"/>
      <c r="BRZ166" s="22"/>
      <c r="BSA166" s="22"/>
      <c r="BSB166" s="22"/>
      <c r="BSC166" s="22"/>
      <c r="BSD166" s="22"/>
      <c r="BSE166" s="22"/>
      <c r="BSF166" s="22"/>
      <c r="BSG166" s="22"/>
      <c r="BSH166" s="22"/>
      <c r="BSI166" s="22"/>
      <c r="BSJ166" s="22"/>
      <c r="BSK166" s="22"/>
      <c r="BSL166" s="22"/>
      <c r="BSM166" s="22"/>
      <c r="BSN166" s="22"/>
      <c r="BSO166" s="22"/>
      <c r="BSP166" s="22"/>
      <c r="BSQ166" s="22"/>
      <c r="BSR166" s="22"/>
      <c r="BSS166" s="22"/>
      <c r="BST166" s="22"/>
      <c r="BSU166" s="22"/>
      <c r="BSV166" s="22"/>
      <c r="BSW166" s="22"/>
      <c r="BSX166" s="22"/>
      <c r="BSY166" s="22"/>
      <c r="BSZ166" s="22"/>
      <c r="BTA166" s="22"/>
      <c r="BTB166" s="22"/>
      <c r="BTC166" s="22"/>
      <c r="BTD166" s="22"/>
      <c r="BTE166" s="22"/>
      <c r="BTF166" s="22"/>
      <c r="BTG166" s="22"/>
      <c r="BTH166" s="22"/>
      <c r="BTI166" s="22"/>
      <c r="BTJ166" s="22"/>
      <c r="BTK166" s="22"/>
      <c r="BTL166" s="22"/>
      <c r="BTM166" s="22"/>
      <c r="BTN166" s="22"/>
      <c r="BTO166" s="22"/>
      <c r="BTP166" s="22"/>
      <c r="BTQ166" s="22"/>
      <c r="BTR166" s="22"/>
      <c r="BTS166" s="22"/>
      <c r="BTT166" s="22"/>
      <c r="BTU166" s="22"/>
      <c r="BTV166" s="22"/>
      <c r="BTW166" s="22"/>
      <c r="BTX166" s="22"/>
      <c r="BTY166" s="22"/>
      <c r="BTZ166" s="22"/>
      <c r="BUA166" s="22"/>
      <c r="BUB166" s="22"/>
      <c r="BUC166" s="22"/>
      <c r="BUD166" s="22"/>
      <c r="BUE166" s="22"/>
      <c r="BUF166" s="22"/>
      <c r="BUG166" s="22"/>
      <c r="BUH166" s="22"/>
      <c r="BUI166" s="22"/>
      <c r="BUJ166" s="22"/>
      <c r="BUK166" s="22"/>
      <c r="BUL166" s="22"/>
      <c r="BUM166" s="22"/>
      <c r="BUN166" s="22"/>
      <c r="BUO166" s="22"/>
      <c r="BUP166" s="22"/>
      <c r="BUQ166" s="22"/>
      <c r="BUR166" s="22"/>
      <c r="BUS166" s="22"/>
      <c r="BUT166" s="22"/>
      <c r="BUU166" s="22"/>
      <c r="BUV166" s="22"/>
      <c r="BUW166" s="22"/>
      <c r="BUX166" s="22"/>
      <c r="BUY166" s="22"/>
      <c r="BUZ166" s="22"/>
      <c r="BVA166" s="22"/>
      <c r="BVB166" s="22"/>
      <c r="BVC166" s="22"/>
      <c r="BVD166" s="22"/>
      <c r="BVE166" s="22"/>
      <c r="BVF166" s="22"/>
      <c r="BVG166" s="22"/>
      <c r="BVH166" s="22"/>
      <c r="BVI166" s="22"/>
      <c r="BVJ166" s="22"/>
      <c r="BVK166" s="22"/>
      <c r="BVL166" s="22"/>
      <c r="BVM166" s="22"/>
      <c r="BVN166" s="22"/>
      <c r="BVO166" s="22"/>
      <c r="BVP166" s="22"/>
      <c r="BVQ166" s="22"/>
      <c r="BVR166" s="22"/>
      <c r="BVS166" s="22"/>
      <c r="BVT166" s="22"/>
      <c r="BVU166" s="22"/>
      <c r="BVV166" s="22"/>
      <c r="BVW166" s="22"/>
      <c r="BVX166" s="22"/>
      <c r="BVY166" s="22"/>
      <c r="BVZ166" s="22"/>
      <c r="BWA166" s="22"/>
      <c r="BWB166" s="22"/>
      <c r="BWC166" s="22"/>
      <c r="BWD166" s="22"/>
      <c r="BWE166" s="22"/>
      <c r="BWF166" s="22"/>
      <c r="BWG166" s="22"/>
      <c r="BWH166" s="22"/>
      <c r="BWI166" s="22"/>
      <c r="BWJ166" s="22"/>
      <c r="BWK166" s="22"/>
      <c r="BWL166" s="22"/>
      <c r="BWM166" s="22"/>
      <c r="BWN166" s="22"/>
      <c r="BWO166" s="22"/>
      <c r="BWP166" s="22"/>
      <c r="BWQ166" s="22"/>
      <c r="BWR166" s="22"/>
      <c r="BWS166" s="22"/>
      <c r="BWT166" s="22"/>
      <c r="BWU166" s="22"/>
      <c r="BWV166" s="22"/>
      <c r="BWW166" s="22"/>
      <c r="BWX166" s="22"/>
      <c r="BWY166" s="22"/>
      <c r="BWZ166" s="22"/>
      <c r="BXA166" s="22"/>
      <c r="BXB166" s="22"/>
      <c r="BXC166" s="22"/>
      <c r="BXD166" s="22"/>
      <c r="BXE166" s="22"/>
      <c r="BXF166" s="22"/>
      <c r="BXG166" s="22"/>
      <c r="BXH166" s="22"/>
      <c r="BXI166" s="22"/>
      <c r="BXJ166" s="22"/>
      <c r="BXK166" s="22"/>
      <c r="BXL166" s="22"/>
      <c r="BXM166" s="22"/>
      <c r="BXN166" s="22"/>
      <c r="BXO166" s="22"/>
      <c r="BXP166" s="22"/>
      <c r="BXQ166" s="22"/>
      <c r="BXR166" s="22"/>
      <c r="BXS166" s="22"/>
      <c r="BXT166" s="22"/>
      <c r="BXU166" s="22"/>
      <c r="BXV166" s="22"/>
      <c r="BXW166" s="22"/>
      <c r="BXX166" s="22"/>
      <c r="BXY166" s="22"/>
      <c r="BXZ166" s="22"/>
      <c r="BYA166" s="22"/>
      <c r="BYB166" s="22"/>
      <c r="BYC166" s="22"/>
      <c r="BYD166" s="22"/>
      <c r="BYE166" s="22"/>
      <c r="BYF166" s="22"/>
      <c r="BYG166" s="22"/>
      <c r="BYH166" s="22"/>
      <c r="BYI166" s="22"/>
      <c r="BYJ166" s="22"/>
      <c r="BYK166" s="22"/>
      <c r="BYL166" s="22"/>
      <c r="BYM166" s="22"/>
      <c r="BYN166" s="22"/>
      <c r="BYO166" s="22"/>
      <c r="BYP166" s="22"/>
      <c r="BYQ166" s="22"/>
      <c r="BYR166" s="22"/>
      <c r="BYS166" s="22"/>
      <c r="BYT166" s="22"/>
      <c r="BYU166" s="22"/>
      <c r="BYV166" s="22"/>
      <c r="BYW166" s="22"/>
      <c r="BYX166" s="22"/>
      <c r="BYY166" s="22"/>
      <c r="BYZ166" s="22"/>
      <c r="BZA166" s="22"/>
      <c r="BZB166" s="22"/>
      <c r="BZC166" s="22"/>
      <c r="BZD166" s="22"/>
      <c r="BZE166" s="22"/>
      <c r="BZF166" s="22"/>
      <c r="BZG166" s="22"/>
      <c r="BZH166" s="22"/>
      <c r="BZI166" s="22"/>
      <c r="BZJ166" s="22"/>
      <c r="BZK166" s="22"/>
      <c r="BZL166" s="22"/>
      <c r="BZM166" s="22"/>
      <c r="BZN166" s="22"/>
      <c r="BZO166" s="22"/>
      <c r="BZP166" s="22"/>
      <c r="BZQ166" s="22"/>
      <c r="BZR166" s="22"/>
      <c r="BZS166" s="22"/>
      <c r="BZT166" s="22"/>
      <c r="BZU166" s="22"/>
      <c r="BZV166" s="22"/>
      <c r="BZW166" s="22"/>
      <c r="BZX166" s="22"/>
      <c r="BZY166" s="22"/>
      <c r="BZZ166" s="22"/>
      <c r="CAA166" s="22"/>
      <c r="CAB166" s="22"/>
      <c r="CAC166" s="22"/>
      <c r="CAD166" s="22"/>
      <c r="CAE166" s="22"/>
      <c r="CAF166" s="22"/>
      <c r="CAG166" s="22"/>
      <c r="CAH166" s="22"/>
      <c r="CAI166" s="22"/>
      <c r="CAJ166" s="22"/>
      <c r="CAK166" s="22"/>
      <c r="CAL166" s="22"/>
      <c r="CAM166" s="22"/>
      <c r="CAN166" s="22"/>
      <c r="CAO166" s="22"/>
      <c r="CAP166" s="22"/>
      <c r="CAQ166" s="22"/>
      <c r="CAR166" s="22"/>
      <c r="CAS166" s="22"/>
      <c r="CAT166" s="22"/>
      <c r="CAU166" s="22"/>
      <c r="CAV166" s="22"/>
      <c r="CAW166" s="22"/>
      <c r="CAX166" s="22"/>
      <c r="CAY166" s="22"/>
      <c r="CAZ166" s="22"/>
      <c r="CBA166" s="22"/>
      <c r="CBB166" s="22"/>
      <c r="CBC166" s="22"/>
      <c r="CBD166" s="22"/>
      <c r="CBE166" s="22"/>
      <c r="CBF166" s="22"/>
      <c r="CBG166" s="22"/>
      <c r="CBH166" s="22"/>
      <c r="CBI166" s="22"/>
      <c r="CBJ166" s="22"/>
      <c r="CBK166" s="22"/>
      <c r="CBL166" s="22"/>
      <c r="CBM166" s="22"/>
      <c r="CBN166" s="22"/>
      <c r="CBO166" s="22"/>
      <c r="CBP166" s="22"/>
      <c r="CBQ166" s="22"/>
      <c r="CBR166" s="22"/>
      <c r="CBS166" s="22"/>
      <c r="CBT166" s="22"/>
      <c r="CBU166" s="22"/>
      <c r="CBV166" s="22"/>
      <c r="CBW166" s="22"/>
      <c r="CBX166" s="22"/>
      <c r="CBY166" s="22"/>
      <c r="CBZ166" s="22"/>
      <c r="CCA166" s="22"/>
      <c r="CCB166" s="22"/>
      <c r="CCC166" s="22"/>
      <c r="CCD166" s="22"/>
      <c r="CCE166" s="22"/>
      <c r="CCF166" s="22"/>
      <c r="CCG166" s="22"/>
      <c r="CCH166" s="22"/>
      <c r="CCI166" s="22"/>
      <c r="CCJ166" s="22"/>
      <c r="CCK166" s="22"/>
      <c r="CCL166" s="22"/>
      <c r="CCM166" s="22"/>
      <c r="CCN166" s="22"/>
      <c r="CCO166" s="22"/>
      <c r="CCP166" s="22"/>
      <c r="CCQ166" s="22"/>
      <c r="CCR166" s="22"/>
      <c r="CCS166" s="22"/>
      <c r="CCT166" s="22"/>
      <c r="CCU166" s="22"/>
      <c r="CCV166" s="22"/>
      <c r="CCW166" s="22"/>
      <c r="CCX166" s="22"/>
      <c r="CCY166" s="22"/>
      <c r="CCZ166" s="22"/>
      <c r="CDA166" s="22"/>
      <c r="CDB166" s="22"/>
      <c r="CDC166" s="22"/>
      <c r="CDD166" s="22"/>
      <c r="CDE166" s="22"/>
      <c r="CDF166" s="22"/>
      <c r="CDG166" s="22"/>
      <c r="CDH166" s="22"/>
      <c r="CDI166" s="22"/>
      <c r="CDJ166" s="22"/>
      <c r="CDK166" s="22"/>
      <c r="CDL166" s="22"/>
      <c r="CDM166" s="22"/>
      <c r="CDN166" s="22"/>
      <c r="CDO166" s="22"/>
      <c r="CDP166" s="22"/>
      <c r="CDQ166" s="22"/>
      <c r="CDR166" s="22"/>
      <c r="CDS166" s="22"/>
      <c r="CDT166" s="22"/>
      <c r="CDU166" s="22"/>
      <c r="CDV166" s="22"/>
      <c r="CDW166" s="22"/>
      <c r="CDX166" s="22"/>
      <c r="CDY166" s="22"/>
      <c r="CDZ166" s="22"/>
      <c r="CEA166" s="22"/>
      <c r="CEB166" s="22"/>
      <c r="CEC166" s="22"/>
      <c r="CED166" s="22"/>
      <c r="CEE166" s="22"/>
      <c r="CEF166" s="22"/>
      <c r="CEG166" s="22"/>
      <c r="CEH166" s="22"/>
      <c r="CEI166" s="22"/>
      <c r="CEJ166" s="22"/>
      <c r="CEK166" s="22"/>
      <c r="CEL166" s="22"/>
      <c r="CEM166" s="22"/>
      <c r="CEN166" s="22"/>
      <c r="CEO166" s="22"/>
      <c r="CEP166" s="22"/>
      <c r="CEQ166" s="22"/>
      <c r="CER166" s="22"/>
      <c r="CES166" s="22"/>
      <c r="CET166" s="22"/>
      <c r="CEU166" s="22"/>
      <c r="CEV166" s="22"/>
      <c r="CEW166" s="22"/>
      <c r="CEX166" s="22"/>
      <c r="CEY166" s="22"/>
      <c r="CEZ166" s="22"/>
      <c r="CFA166" s="22"/>
      <c r="CFB166" s="22"/>
      <c r="CFC166" s="22"/>
      <c r="CFD166" s="22"/>
      <c r="CFE166" s="22"/>
      <c r="CFF166" s="22"/>
      <c r="CFG166" s="22"/>
      <c r="CFH166" s="22"/>
      <c r="CFI166" s="22"/>
      <c r="CFJ166" s="22"/>
      <c r="CFK166" s="22"/>
      <c r="CFL166" s="22"/>
      <c r="CFM166" s="22"/>
      <c r="CFN166" s="22"/>
      <c r="CFO166" s="22"/>
      <c r="CFP166" s="22"/>
      <c r="CFQ166" s="22"/>
      <c r="CFR166" s="22"/>
      <c r="CFS166" s="22"/>
      <c r="CFT166" s="22"/>
      <c r="CFU166" s="22"/>
      <c r="CFV166" s="22"/>
      <c r="CFW166" s="22"/>
      <c r="CFX166" s="22"/>
      <c r="CFY166" s="22"/>
      <c r="CFZ166" s="22"/>
      <c r="CGA166" s="22"/>
      <c r="CGB166" s="22"/>
      <c r="CGC166" s="22"/>
      <c r="CGD166" s="22"/>
      <c r="CGE166" s="22"/>
      <c r="CGF166" s="22"/>
      <c r="CGG166" s="22"/>
      <c r="CGH166" s="22"/>
      <c r="CGI166" s="22"/>
      <c r="CGJ166" s="22"/>
      <c r="CGK166" s="22"/>
      <c r="CGL166" s="22"/>
      <c r="CGM166" s="22"/>
      <c r="CGN166" s="22"/>
      <c r="CGO166" s="22"/>
      <c r="CGP166" s="22"/>
      <c r="CGQ166" s="22"/>
      <c r="CGR166" s="22"/>
      <c r="CGS166" s="22"/>
      <c r="CGT166" s="22"/>
      <c r="CGU166" s="22"/>
      <c r="CGV166" s="22"/>
      <c r="CGW166" s="22"/>
      <c r="CGX166" s="22"/>
      <c r="CGY166" s="22"/>
      <c r="CGZ166" s="22"/>
      <c r="CHA166" s="22"/>
      <c r="CHB166" s="22"/>
      <c r="CHC166" s="22"/>
      <c r="CHD166" s="22"/>
      <c r="CHE166" s="22"/>
      <c r="CHF166" s="22"/>
      <c r="CHG166" s="22"/>
      <c r="CHH166" s="22"/>
      <c r="CHI166" s="22"/>
      <c r="CHJ166" s="22"/>
      <c r="CHK166" s="22"/>
      <c r="CHL166" s="22"/>
      <c r="CHM166" s="22"/>
      <c r="CHN166" s="22"/>
      <c r="CHO166" s="22"/>
      <c r="CHP166" s="22"/>
      <c r="CHQ166" s="22"/>
      <c r="CHR166" s="22"/>
      <c r="CHS166" s="22"/>
      <c r="CHT166" s="22"/>
      <c r="CHU166" s="22"/>
      <c r="CHV166" s="22"/>
      <c r="CHW166" s="22"/>
      <c r="CHX166" s="22"/>
      <c r="CHY166" s="22"/>
      <c r="CHZ166" s="22"/>
      <c r="CIA166" s="22"/>
      <c r="CIB166" s="22"/>
      <c r="CIC166" s="22"/>
      <c r="CID166" s="22"/>
      <c r="CIE166" s="22"/>
      <c r="CIF166" s="22"/>
      <c r="CIG166" s="22"/>
      <c r="CIH166" s="22"/>
      <c r="CII166" s="22"/>
      <c r="CIJ166" s="22"/>
      <c r="CIK166" s="22"/>
      <c r="CIL166" s="22"/>
      <c r="CIM166" s="22"/>
      <c r="CIN166" s="22"/>
      <c r="CIO166" s="22"/>
      <c r="CIP166" s="22"/>
      <c r="CIQ166" s="22"/>
      <c r="CIR166" s="22"/>
      <c r="CIS166" s="22"/>
      <c r="CIT166" s="22"/>
      <c r="CIU166" s="22"/>
      <c r="CIV166" s="22"/>
      <c r="CIW166" s="22"/>
      <c r="CIX166" s="22"/>
      <c r="CIY166" s="22"/>
      <c r="CIZ166" s="22"/>
      <c r="CJA166" s="22"/>
      <c r="CJB166" s="22"/>
      <c r="CJC166" s="22"/>
      <c r="CJD166" s="22"/>
      <c r="CJE166" s="22"/>
      <c r="CJF166" s="22"/>
      <c r="CJG166" s="22"/>
      <c r="CJH166" s="22"/>
      <c r="CJI166" s="22"/>
      <c r="CJJ166" s="22"/>
      <c r="CJK166" s="22"/>
      <c r="CJL166" s="22"/>
      <c r="CJM166" s="22"/>
      <c r="CJN166" s="22"/>
      <c r="CJO166" s="22"/>
      <c r="CJP166" s="22"/>
      <c r="CJQ166" s="22"/>
      <c r="CJR166" s="22"/>
      <c r="CJS166" s="22"/>
      <c r="CJT166" s="22"/>
      <c r="CJU166" s="22"/>
      <c r="CJV166" s="22"/>
      <c r="CJW166" s="22"/>
      <c r="CJX166" s="22"/>
      <c r="CJY166" s="22"/>
      <c r="CJZ166" s="22"/>
      <c r="CKA166" s="22"/>
      <c r="CKB166" s="22"/>
      <c r="CKC166" s="22"/>
      <c r="CKD166" s="22"/>
      <c r="CKE166" s="22"/>
      <c r="CKF166" s="22"/>
      <c r="CKG166" s="22"/>
      <c r="CKH166" s="22"/>
      <c r="CKI166" s="22"/>
      <c r="CKJ166" s="22"/>
      <c r="CKK166" s="22"/>
      <c r="CKL166" s="22"/>
      <c r="CKM166" s="22"/>
      <c r="CKN166" s="22"/>
      <c r="CKO166" s="22"/>
      <c r="CKP166" s="22"/>
      <c r="CKQ166" s="22"/>
      <c r="CKR166" s="22"/>
      <c r="CKS166" s="22"/>
      <c r="CKT166" s="22"/>
      <c r="CKU166" s="22"/>
      <c r="CKV166" s="22"/>
      <c r="CKW166" s="22"/>
      <c r="CKX166" s="22"/>
      <c r="CKY166" s="22"/>
      <c r="CKZ166" s="22"/>
      <c r="CLA166" s="22"/>
      <c r="CLB166" s="22"/>
      <c r="CLC166" s="22"/>
      <c r="CLD166" s="22"/>
      <c r="CLE166" s="22"/>
      <c r="CLF166" s="22"/>
      <c r="CLG166" s="22"/>
      <c r="CLH166" s="22"/>
      <c r="CLI166" s="22"/>
      <c r="CLJ166" s="22"/>
      <c r="CLK166" s="22"/>
      <c r="CLL166" s="22"/>
      <c r="CLM166" s="22"/>
      <c r="CLN166" s="22"/>
      <c r="CLO166" s="22"/>
      <c r="CLP166" s="22"/>
      <c r="CLQ166" s="22"/>
      <c r="CLR166" s="22"/>
      <c r="CLS166" s="22"/>
      <c r="CLT166" s="22"/>
      <c r="CLU166" s="22"/>
      <c r="CLV166" s="22"/>
      <c r="CLW166" s="22"/>
      <c r="CLX166" s="22"/>
      <c r="CLY166" s="22"/>
      <c r="CLZ166" s="22"/>
      <c r="CMA166" s="22"/>
      <c r="CMB166" s="22"/>
      <c r="CMC166" s="22"/>
      <c r="CMD166" s="22"/>
      <c r="CME166" s="22"/>
      <c r="CMF166" s="22"/>
      <c r="CMG166" s="22"/>
      <c r="CMH166" s="22"/>
      <c r="CMI166" s="22"/>
      <c r="CMJ166" s="22"/>
      <c r="CMK166" s="22"/>
      <c r="CML166" s="22"/>
      <c r="CMM166" s="22"/>
      <c r="CMN166" s="22"/>
      <c r="CMO166" s="22"/>
      <c r="CMP166" s="22"/>
      <c r="CMQ166" s="22"/>
      <c r="CMR166" s="22"/>
      <c r="CMS166" s="22"/>
      <c r="CMT166" s="22"/>
      <c r="CMU166" s="22"/>
      <c r="CMV166" s="22"/>
      <c r="CMW166" s="22"/>
      <c r="CMX166" s="22"/>
      <c r="CMY166" s="22"/>
      <c r="CMZ166" s="22"/>
      <c r="CNA166" s="22"/>
      <c r="CNB166" s="22"/>
      <c r="CNC166" s="22"/>
      <c r="CND166" s="22"/>
      <c r="CNE166" s="22"/>
      <c r="CNF166" s="22"/>
      <c r="CNG166" s="22"/>
      <c r="CNH166" s="22"/>
      <c r="CNI166" s="22"/>
      <c r="CNJ166" s="22"/>
      <c r="CNK166" s="22"/>
      <c r="CNL166" s="22"/>
      <c r="CNM166" s="22"/>
      <c r="CNN166" s="22"/>
      <c r="CNO166" s="22"/>
      <c r="CNP166" s="22"/>
      <c r="CNQ166" s="22"/>
      <c r="CNR166" s="22"/>
      <c r="CNS166" s="22"/>
      <c r="CNT166" s="22"/>
      <c r="CNU166" s="22"/>
      <c r="CNV166" s="22"/>
      <c r="CNW166" s="22"/>
      <c r="CNX166" s="22"/>
      <c r="CNY166" s="22"/>
      <c r="CNZ166" s="22"/>
      <c r="COA166" s="22"/>
      <c r="COB166" s="22"/>
      <c r="COC166" s="22"/>
      <c r="COD166" s="22"/>
      <c r="COE166" s="22"/>
      <c r="COF166" s="22"/>
      <c r="COG166" s="22"/>
      <c r="COH166" s="22"/>
      <c r="COI166" s="22"/>
      <c r="COJ166" s="22"/>
      <c r="COK166" s="22"/>
      <c r="COL166" s="22"/>
      <c r="COM166" s="22"/>
      <c r="CON166" s="22"/>
      <c r="COO166" s="22"/>
      <c r="COP166" s="22"/>
      <c r="COQ166" s="22"/>
      <c r="COR166" s="22"/>
      <c r="COS166" s="22"/>
      <c r="COT166" s="22"/>
      <c r="COU166" s="22"/>
      <c r="COV166" s="22"/>
      <c r="COW166" s="22"/>
      <c r="COX166" s="22"/>
      <c r="COY166" s="22"/>
      <c r="COZ166" s="22"/>
      <c r="CPA166" s="22"/>
      <c r="CPB166" s="22"/>
      <c r="CPC166" s="22"/>
      <c r="CPD166" s="22"/>
      <c r="CPE166" s="22"/>
      <c r="CPF166" s="22"/>
      <c r="CPG166" s="22"/>
      <c r="CPH166" s="22"/>
      <c r="CPI166" s="22"/>
      <c r="CPJ166" s="22"/>
      <c r="CPK166" s="22"/>
      <c r="CPL166" s="22"/>
      <c r="CPM166" s="22"/>
      <c r="CPN166" s="22"/>
      <c r="CPO166" s="22"/>
      <c r="CPP166" s="22"/>
      <c r="CPQ166" s="22"/>
      <c r="CPR166" s="22"/>
      <c r="CPS166" s="22"/>
      <c r="CPT166" s="22"/>
      <c r="CPU166" s="22"/>
      <c r="CPV166" s="22"/>
      <c r="CPW166" s="22"/>
      <c r="CPX166" s="22"/>
      <c r="CPY166" s="22"/>
      <c r="CPZ166" s="22"/>
      <c r="CQA166" s="22"/>
      <c r="CQB166" s="22"/>
      <c r="CQC166" s="22"/>
      <c r="CQD166" s="22"/>
      <c r="CQE166" s="22"/>
      <c r="CQF166" s="22"/>
      <c r="CQG166" s="22"/>
      <c r="CQH166" s="22"/>
      <c r="CQI166" s="22"/>
      <c r="CQJ166" s="22"/>
      <c r="CQK166" s="22"/>
      <c r="CQL166" s="22"/>
      <c r="CQM166" s="22"/>
      <c r="CQN166" s="22"/>
      <c r="CQO166" s="22"/>
      <c r="CQP166" s="22"/>
      <c r="CQQ166" s="22"/>
      <c r="CQR166" s="22"/>
      <c r="CQS166" s="22"/>
      <c r="CQT166" s="22"/>
      <c r="CQU166" s="22"/>
      <c r="CQV166" s="22"/>
      <c r="CQW166" s="22"/>
      <c r="CQX166" s="22"/>
      <c r="CQY166" s="22"/>
      <c r="CQZ166" s="22"/>
      <c r="CRA166" s="22"/>
      <c r="CRB166" s="22"/>
      <c r="CRC166" s="22"/>
      <c r="CRD166" s="22"/>
      <c r="CRE166" s="22"/>
      <c r="CRF166" s="22"/>
      <c r="CRG166" s="22"/>
      <c r="CRH166" s="22"/>
      <c r="CRI166" s="22"/>
      <c r="CRJ166" s="22"/>
      <c r="CRK166" s="22"/>
      <c r="CRL166" s="22"/>
      <c r="CRM166" s="22"/>
      <c r="CRN166" s="22"/>
      <c r="CRO166" s="22"/>
      <c r="CRP166" s="22"/>
      <c r="CRQ166" s="22"/>
      <c r="CRR166" s="22"/>
      <c r="CRS166" s="22"/>
      <c r="CRT166" s="22"/>
      <c r="CRU166" s="22"/>
      <c r="CRV166" s="22"/>
      <c r="CRW166" s="22"/>
      <c r="CRX166" s="22"/>
      <c r="CRY166" s="22"/>
      <c r="CRZ166" s="22"/>
      <c r="CSA166" s="22"/>
      <c r="CSB166" s="22"/>
      <c r="CSC166" s="22"/>
      <c r="CSD166" s="22"/>
      <c r="CSE166" s="22"/>
      <c r="CSF166" s="22"/>
      <c r="CSG166" s="22"/>
      <c r="CSH166" s="22"/>
      <c r="CSI166" s="22"/>
      <c r="CSJ166" s="22"/>
      <c r="CSK166" s="22"/>
      <c r="CSL166" s="22"/>
      <c r="CSM166" s="22"/>
      <c r="CSN166" s="22"/>
      <c r="CSO166" s="22"/>
      <c r="CSP166" s="22"/>
      <c r="CSQ166" s="22"/>
      <c r="CSR166" s="22"/>
      <c r="CSS166" s="22"/>
      <c r="CST166" s="22"/>
      <c r="CSU166" s="22"/>
      <c r="CSV166" s="22"/>
      <c r="CSW166" s="22"/>
      <c r="CSX166" s="22"/>
      <c r="CSY166" s="22"/>
      <c r="CSZ166" s="22"/>
      <c r="CTA166" s="22"/>
      <c r="CTB166" s="22"/>
      <c r="CTC166" s="22"/>
      <c r="CTD166" s="22"/>
      <c r="CTE166" s="22"/>
      <c r="CTF166" s="22"/>
      <c r="CTG166" s="22"/>
      <c r="CTH166" s="22"/>
      <c r="CTI166" s="22"/>
      <c r="CTJ166" s="22"/>
      <c r="CTK166" s="22"/>
      <c r="CTL166" s="22"/>
      <c r="CTM166" s="22"/>
      <c r="CTN166" s="22"/>
      <c r="CTO166" s="22"/>
      <c r="CTP166" s="22"/>
      <c r="CTQ166" s="22"/>
      <c r="CTR166" s="22"/>
      <c r="CTS166" s="22"/>
      <c r="CTT166" s="22"/>
      <c r="CTU166" s="22"/>
      <c r="CTV166" s="22"/>
      <c r="CTW166" s="22"/>
      <c r="CTX166" s="22"/>
      <c r="CTY166" s="22"/>
      <c r="CTZ166" s="22"/>
      <c r="CUA166" s="22"/>
      <c r="CUB166" s="22"/>
      <c r="CUC166" s="22"/>
      <c r="CUD166" s="22"/>
      <c r="CUE166" s="22"/>
      <c r="CUF166" s="22"/>
      <c r="CUG166" s="22"/>
      <c r="CUH166" s="22"/>
      <c r="CUI166" s="22"/>
      <c r="CUJ166" s="22"/>
      <c r="CUK166" s="22"/>
      <c r="CUL166" s="22"/>
      <c r="CUM166" s="22"/>
      <c r="CUN166" s="22"/>
      <c r="CUO166" s="22"/>
      <c r="CUP166" s="22"/>
      <c r="CUQ166" s="22"/>
      <c r="CUR166" s="22"/>
      <c r="CUS166" s="22"/>
      <c r="CUT166" s="22"/>
      <c r="CUU166" s="22"/>
      <c r="CUV166" s="22"/>
      <c r="CUW166" s="22"/>
      <c r="CUX166" s="22"/>
      <c r="CUY166" s="22"/>
      <c r="CUZ166" s="22"/>
      <c r="CVA166" s="22"/>
      <c r="CVB166" s="22"/>
      <c r="CVC166" s="22"/>
      <c r="CVD166" s="22"/>
      <c r="CVE166" s="22"/>
      <c r="CVF166" s="22"/>
      <c r="CVG166" s="22"/>
      <c r="CVH166" s="22"/>
      <c r="CVI166" s="22"/>
      <c r="CVJ166" s="22"/>
      <c r="CVK166" s="22"/>
      <c r="CVL166" s="22"/>
      <c r="CVM166" s="22"/>
      <c r="CVN166" s="22"/>
      <c r="CVO166" s="22"/>
      <c r="CVP166" s="22"/>
      <c r="CVQ166" s="22"/>
      <c r="CVR166" s="22"/>
      <c r="CVS166" s="22"/>
      <c r="CVT166" s="22"/>
      <c r="CVU166" s="22"/>
      <c r="CVV166" s="22"/>
      <c r="CVW166" s="22"/>
      <c r="CVX166" s="22"/>
      <c r="CVY166" s="22"/>
      <c r="CVZ166" s="22"/>
      <c r="CWA166" s="22"/>
      <c r="CWB166" s="22"/>
      <c r="CWC166" s="22"/>
      <c r="CWD166" s="22"/>
      <c r="CWE166" s="22"/>
      <c r="CWF166" s="22"/>
      <c r="CWG166" s="22"/>
      <c r="CWH166" s="22"/>
      <c r="CWI166" s="22"/>
      <c r="CWJ166" s="22"/>
      <c r="CWK166" s="22"/>
      <c r="CWL166" s="22"/>
      <c r="CWM166" s="22"/>
      <c r="CWN166" s="22"/>
      <c r="CWO166" s="22"/>
      <c r="CWP166" s="22"/>
      <c r="CWQ166" s="22"/>
      <c r="CWR166" s="22"/>
      <c r="CWS166" s="22"/>
      <c r="CWT166" s="22"/>
      <c r="CWU166" s="22"/>
      <c r="CWV166" s="22"/>
      <c r="CWW166" s="22"/>
      <c r="CWX166" s="22"/>
      <c r="CWY166" s="22"/>
      <c r="CWZ166" s="22"/>
      <c r="CXA166" s="22"/>
      <c r="CXB166" s="22"/>
      <c r="CXC166" s="22"/>
      <c r="CXD166" s="22"/>
      <c r="CXE166" s="22"/>
      <c r="CXF166" s="22"/>
      <c r="CXG166" s="22"/>
      <c r="CXH166" s="22"/>
      <c r="CXI166" s="22"/>
      <c r="CXJ166" s="22"/>
      <c r="CXK166" s="22"/>
      <c r="CXL166" s="22"/>
      <c r="CXM166" s="22"/>
      <c r="CXN166" s="22"/>
      <c r="CXO166" s="22"/>
      <c r="CXP166" s="22"/>
      <c r="CXQ166" s="22"/>
      <c r="CXR166" s="22"/>
      <c r="CXS166" s="22"/>
      <c r="CXT166" s="22"/>
      <c r="CXU166" s="22"/>
      <c r="CXV166" s="22"/>
      <c r="CXW166" s="22"/>
      <c r="CXX166" s="22"/>
      <c r="CXY166" s="22"/>
      <c r="CXZ166" s="22"/>
      <c r="CYA166" s="22"/>
      <c r="CYB166" s="22"/>
      <c r="CYC166" s="22"/>
      <c r="CYD166" s="22"/>
      <c r="CYE166" s="22"/>
      <c r="CYF166" s="22"/>
      <c r="CYG166" s="22"/>
      <c r="CYH166" s="22"/>
      <c r="CYI166" s="22"/>
      <c r="CYJ166" s="22"/>
      <c r="CYK166" s="22"/>
      <c r="CYL166" s="22"/>
      <c r="CYM166" s="22"/>
      <c r="CYN166" s="22"/>
      <c r="CYO166" s="22"/>
      <c r="CYP166" s="22"/>
      <c r="CYQ166" s="22"/>
      <c r="CYR166" s="22"/>
      <c r="CYS166" s="22"/>
      <c r="CYT166" s="22"/>
      <c r="CYU166" s="22"/>
      <c r="CYV166" s="22"/>
      <c r="CYW166" s="22"/>
      <c r="CYX166" s="22"/>
      <c r="CYY166" s="22"/>
      <c r="CYZ166" s="22"/>
      <c r="CZA166" s="22"/>
      <c r="CZB166" s="22"/>
      <c r="CZC166" s="22"/>
      <c r="CZD166" s="22"/>
      <c r="CZE166" s="22"/>
      <c r="CZF166" s="22"/>
      <c r="CZG166" s="22"/>
      <c r="CZH166" s="22"/>
      <c r="CZI166" s="22"/>
      <c r="CZJ166" s="22"/>
      <c r="CZK166" s="22"/>
      <c r="CZL166" s="22"/>
      <c r="CZM166" s="22"/>
      <c r="CZN166" s="22"/>
      <c r="CZO166" s="22"/>
      <c r="CZP166" s="22"/>
      <c r="CZQ166" s="22"/>
      <c r="CZR166" s="22"/>
      <c r="CZS166" s="22"/>
      <c r="CZT166" s="22"/>
      <c r="CZU166" s="22"/>
      <c r="CZV166" s="22"/>
      <c r="CZW166" s="22"/>
      <c r="CZX166" s="22"/>
      <c r="CZY166" s="22"/>
      <c r="CZZ166" s="22"/>
      <c r="DAA166" s="22"/>
      <c r="DAB166" s="22"/>
      <c r="DAC166" s="22"/>
      <c r="DAD166" s="22"/>
      <c r="DAE166" s="22"/>
      <c r="DAF166" s="22"/>
      <c r="DAG166" s="22"/>
      <c r="DAH166" s="22"/>
      <c r="DAI166" s="22"/>
      <c r="DAJ166" s="22"/>
      <c r="DAK166" s="22"/>
      <c r="DAL166" s="22"/>
      <c r="DAM166" s="22"/>
      <c r="DAN166" s="22"/>
      <c r="DAO166" s="22"/>
      <c r="DAP166" s="22"/>
      <c r="DAQ166" s="22"/>
      <c r="DAR166" s="22"/>
      <c r="DAS166" s="22"/>
      <c r="DAT166" s="22"/>
      <c r="DAU166" s="22"/>
      <c r="DAV166" s="22"/>
      <c r="DAW166" s="22"/>
      <c r="DAX166" s="22"/>
      <c r="DAY166" s="22"/>
      <c r="DAZ166" s="22"/>
      <c r="DBA166" s="22"/>
      <c r="DBB166" s="22"/>
      <c r="DBC166" s="22"/>
      <c r="DBD166" s="22"/>
      <c r="DBE166" s="22"/>
      <c r="DBF166" s="22"/>
      <c r="DBG166" s="22"/>
      <c r="DBH166" s="22"/>
      <c r="DBI166" s="22"/>
      <c r="DBJ166" s="22"/>
      <c r="DBK166" s="22"/>
      <c r="DBL166" s="22"/>
      <c r="DBM166" s="22"/>
      <c r="DBN166" s="22"/>
      <c r="DBO166" s="22"/>
      <c r="DBP166" s="22"/>
      <c r="DBQ166" s="22"/>
      <c r="DBR166" s="22"/>
      <c r="DBS166" s="22"/>
      <c r="DBT166" s="22"/>
      <c r="DBU166" s="22"/>
      <c r="DBV166" s="22"/>
      <c r="DBW166" s="22"/>
      <c r="DBX166" s="22"/>
      <c r="DBY166" s="22"/>
      <c r="DBZ166" s="22"/>
      <c r="DCA166" s="22"/>
      <c r="DCB166" s="22"/>
      <c r="DCC166" s="22"/>
      <c r="DCD166" s="22"/>
      <c r="DCE166" s="22"/>
      <c r="DCF166" s="22"/>
      <c r="DCG166" s="22"/>
      <c r="DCH166" s="22"/>
      <c r="DCI166" s="22"/>
      <c r="DCJ166" s="22"/>
      <c r="DCK166" s="22"/>
      <c r="DCL166" s="22"/>
      <c r="DCM166" s="22"/>
      <c r="DCN166" s="22"/>
      <c r="DCO166" s="22"/>
      <c r="DCP166" s="22"/>
      <c r="DCQ166" s="22"/>
      <c r="DCR166" s="22"/>
      <c r="DCS166" s="22"/>
      <c r="DCT166" s="22"/>
      <c r="DCU166" s="22"/>
      <c r="DCV166" s="22"/>
      <c r="DCW166" s="22"/>
      <c r="DCX166" s="22"/>
      <c r="DCY166" s="22"/>
      <c r="DCZ166" s="22"/>
      <c r="DDA166" s="22"/>
      <c r="DDB166" s="22"/>
      <c r="DDC166" s="22"/>
      <c r="DDD166" s="22"/>
      <c r="DDE166" s="22"/>
      <c r="DDF166" s="22"/>
      <c r="DDG166" s="22"/>
      <c r="DDH166" s="22"/>
      <c r="DDI166" s="22"/>
      <c r="DDJ166" s="22"/>
      <c r="DDK166" s="22"/>
      <c r="DDL166" s="22"/>
      <c r="DDM166" s="22"/>
      <c r="DDN166" s="22"/>
      <c r="DDO166" s="22"/>
      <c r="DDP166" s="22"/>
      <c r="DDQ166" s="22"/>
      <c r="DDR166" s="22"/>
      <c r="DDS166" s="22"/>
      <c r="DDT166" s="22"/>
      <c r="DDU166" s="22"/>
      <c r="DDV166" s="22"/>
      <c r="DDW166" s="22"/>
      <c r="DDX166" s="22"/>
      <c r="DDY166" s="22"/>
      <c r="DDZ166" s="22"/>
      <c r="DEA166" s="22"/>
      <c r="DEB166" s="22"/>
      <c r="DEC166" s="22"/>
      <c r="DED166" s="22"/>
      <c r="DEE166" s="22"/>
      <c r="DEF166" s="22"/>
      <c r="DEG166" s="22"/>
      <c r="DEH166" s="22"/>
      <c r="DEI166" s="22"/>
      <c r="DEJ166" s="22"/>
      <c r="DEK166" s="22"/>
      <c r="DEL166" s="22"/>
      <c r="DEM166" s="22"/>
      <c r="DEN166" s="22"/>
      <c r="DEO166" s="22"/>
      <c r="DEP166" s="22"/>
      <c r="DEQ166" s="22"/>
      <c r="DER166" s="22"/>
      <c r="DES166" s="22"/>
      <c r="DET166" s="22"/>
      <c r="DEU166" s="22"/>
      <c r="DEV166" s="22"/>
      <c r="DEW166" s="22"/>
      <c r="DEX166" s="22"/>
      <c r="DEY166" s="22"/>
      <c r="DEZ166" s="22"/>
      <c r="DFA166" s="22"/>
      <c r="DFB166" s="22"/>
      <c r="DFC166" s="22"/>
      <c r="DFD166" s="22"/>
      <c r="DFE166" s="22"/>
      <c r="DFF166" s="22"/>
      <c r="DFG166" s="22"/>
      <c r="DFH166" s="22"/>
      <c r="DFI166" s="22"/>
      <c r="DFJ166" s="22"/>
      <c r="DFK166" s="22"/>
      <c r="DFL166" s="22"/>
      <c r="DFM166" s="22"/>
      <c r="DFN166" s="22"/>
      <c r="DFO166" s="22"/>
      <c r="DFP166" s="22"/>
      <c r="DFQ166" s="22"/>
      <c r="DFR166" s="22"/>
      <c r="DFS166" s="22"/>
      <c r="DFT166" s="22"/>
      <c r="DFU166" s="22"/>
      <c r="DFV166" s="22"/>
      <c r="DFW166" s="22"/>
      <c r="DFX166" s="22"/>
      <c r="DFY166" s="22"/>
      <c r="DFZ166" s="22"/>
      <c r="DGA166" s="22"/>
      <c r="DGB166" s="22"/>
      <c r="DGC166" s="22"/>
      <c r="DGD166" s="22"/>
      <c r="DGE166" s="22"/>
      <c r="DGF166" s="22"/>
      <c r="DGG166" s="22"/>
      <c r="DGH166" s="22"/>
      <c r="DGI166" s="22"/>
      <c r="DGJ166" s="22"/>
      <c r="DGK166" s="22"/>
      <c r="DGL166" s="22"/>
      <c r="DGM166" s="22"/>
      <c r="DGN166" s="22"/>
      <c r="DGO166" s="22"/>
      <c r="DGP166" s="22"/>
      <c r="DGQ166" s="22"/>
      <c r="DGR166" s="22"/>
      <c r="DGS166" s="22"/>
      <c r="DGT166" s="22"/>
      <c r="DGU166" s="22"/>
      <c r="DGV166" s="22"/>
      <c r="DGW166" s="22"/>
      <c r="DGX166" s="22"/>
      <c r="DGY166" s="22"/>
      <c r="DGZ166" s="22"/>
      <c r="DHA166" s="22"/>
      <c r="DHB166" s="22"/>
      <c r="DHC166" s="22"/>
      <c r="DHD166" s="22"/>
      <c r="DHE166" s="22"/>
      <c r="DHF166" s="22"/>
      <c r="DHG166" s="22"/>
      <c r="DHH166" s="22"/>
      <c r="DHI166" s="22"/>
      <c r="DHJ166" s="22"/>
      <c r="DHK166" s="22"/>
      <c r="DHL166" s="22"/>
      <c r="DHM166" s="22"/>
      <c r="DHN166" s="22"/>
      <c r="DHO166" s="22"/>
      <c r="DHP166" s="22"/>
      <c r="DHQ166" s="22"/>
      <c r="DHR166" s="22"/>
      <c r="DHS166" s="22"/>
      <c r="DHT166" s="22"/>
      <c r="DHU166" s="22"/>
      <c r="DHV166" s="22"/>
      <c r="DHW166" s="22"/>
      <c r="DHX166" s="22"/>
      <c r="DHY166" s="22"/>
      <c r="DHZ166" s="22"/>
      <c r="DIA166" s="22"/>
      <c r="DIB166" s="22"/>
      <c r="DIC166" s="22"/>
      <c r="DID166" s="22"/>
      <c r="DIE166" s="22"/>
      <c r="DIF166" s="22"/>
      <c r="DIG166" s="22"/>
      <c r="DIH166" s="22"/>
      <c r="DII166" s="22"/>
      <c r="DIJ166" s="22"/>
      <c r="DIK166" s="22"/>
      <c r="DIL166" s="22"/>
      <c r="DIM166" s="22"/>
      <c r="DIN166" s="22"/>
      <c r="DIO166" s="22"/>
      <c r="DIP166" s="22"/>
      <c r="DIQ166" s="22"/>
      <c r="DIR166" s="22"/>
      <c r="DIS166" s="22"/>
      <c r="DIT166" s="22"/>
      <c r="DIU166" s="22"/>
      <c r="DIV166" s="22"/>
      <c r="DIW166" s="22"/>
      <c r="DIX166" s="22"/>
      <c r="DIY166" s="22"/>
      <c r="DIZ166" s="22"/>
      <c r="DJA166" s="22"/>
      <c r="DJB166" s="22"/>
      <c r="DJC166" s="22"/>
      <c r="DJD166" s="22"/>
      <c r="DJE166" s="22"/>
      <c r="DJF166" s="22"/>
      <c r="DJG166" s="22"/>
      <c r="DJH166" s="22"/>
      <c r="DJI166" s="22"/>
      <c r="DJJ166" s="22"/>
      <c r="DJK166" s="22"/>
      <c r="DJL166" s="22"/>
      <c r="DJM166" s="22"/>
      <c r="DJN166" s="22"/>
      <c r="DJO166" s="22"/>
      <c r="DJP166" s="22"/>
      <c r="DJQ166" s="22"/>
      <c r="DJR166" s="22"/>
      <c r="DJS166" s="22"/>
      <c r="DJT166" s="22"/>
      <c r="DJU166" s="22"/>
      <c r="DJV166" s="22"/>
      <c r="DJW166" s="22"/>
      <c r="DJX166" s="22"/>
      <c r="DJY166" s="22"/>
      <c r="DJZ166" s="22"/>
      <c r="DKA166" s="22"/>
      <c r="DKB166" s="22"/>
      <c r="DKC166" s="22"/>
      <c r="DKD166" s="22"/>
      <c r="DKE166" s="22"/>
      <c r="DKF166" s="22"/>
      <c r="DKG166" s="22"/>
      <c r="DKH166" s="22"/>
      <c r="DKI166" s="22"/>
      <c r="DKJ166" s="22"/>
      <c r="DKK166" s="22"/>
      <c r="DKL166" s="22"/>
      <c r="DKM166" s="22"/>
      <c r="DKN166" s="22"/>
      <c r="DKO166" s="22"/>
      <c r="DKP166" s="22"/>
      <c r="DKQ166" s="22"/>
      <c r="DKR166" s="22"/>
      <c r="DKS166" s="22"/>
      <c r="DKT166" s="22"/>
      <c r="DKU166" s="22"/>
      <c r="DKV166" s="22"/>
      <c r="DKW166" s="22"/>
      <c r="DKX166" s="22"/>
      <c r="DKY166" s="22"/>
      <c r="DKZ166" s="22"/>
      <c r="DLA166" s="22"/>
      <c r="DLB166" s="22"/>
      <c r="DLC166" s="22"/>
      <c r="DLD166" s="22"/>
      <c r="DLE166" s="22"/>
      <c r="DLF166" s="22"/>
      <c r="DLG166" s="22"/>
      <c r="DLH166" s="22"/>
      <c r="DLI166" s="22"/>
      <c r="DLJ166" s="22"/>
      <c r="DLK166" s="22"/>
      <c r="DLL166" s="22"/>
      <c r="DLM166" s="22"/>
      <c r="DLN166" s="22"/>
      <c r="DLO166" s="22"/>
      <c r="DLP166" s="22"/>
      <c r="DLQ166" s="22"/>
      <c r="DLR166" s="22"/>
      <c r="DLS166" s="22"/>
      <c r="DLT166" s="22"/>
      <c r="DLU166" s="22"/>
      <c r="DLV166" s="22"/>
      <c r="DLW166" s="22"/>
      <c r="DLX166" s="22"/>
      <c r="DLY166" s="22"/>
      <c r="DLZ166" s="22"/>
      <c r="DMA166" s="22"/>
      <c r="DMB166" s="22"/>
      <c r="DMC166" s="22"/>
      <c r="DMD166" s="22"/>
      <c r="DME166" s="22"/>
      <c r="DMF166" s="22"/>
      <c r="DMG166" s="22"/>
      <c r="DMH166" s="22"/>
      <c r="DMI166" s="22"/>
      <c r="DMJ166" s="22"/>
      <c r="DMK166" s="22"/>
      <c r="DML166" s="22"/>
      <c r="DMM166" s="22"/>
      <c r="DMN166" s="22"/>
      <c r="DMO166" s="22"/>
      <c r="DMP166" s="22"/>
      <c r="DMQ166" s="22"/>
      <c r="DMR166" s="22"/>
      <c r="DMS166" s="22"/>
      <c r="DMT166" s="22"/>
      <c r="DMU166" s="22"/>
      <c r="DMV166" s="22"/>
      <c r="DMW166" s="22"/>
      <c r="DMX166" s="22"/>
      <c r="DMY166" s="22"/>
      <c r="DMZ166" s="22"/>
      <c r="DNA166" s="22"/>
      <c r="DNB166" s="22"/>
      <c r="DNC166" s="22"/>
      <c r="DND166" s="22"/>
      <c r="DNE166" s="22"/>
      <c r="DNF166" s="22"/>
      <c r="DNG166" s="22"/>
      <c r="DNH166" s="22"/>
      <c r="DNI166" s="22"/>
      <c r="DNJ166" s="22"/>
      <c r="DNK166" s="22"/>
      <c r="DNL166" s="22"/>
      <c r="DNM166" s="22"/>
      <c r="DNN166" s="22"/>
      <c r="DNO166" s="22"/>
      <c r="DNP166" s="22"/>
      <c r="DNQ166" s="22"/>
      <c r="DNR166" s="22"/>
      <c r="DNS166" s="22"/>
      <c r="DNT166" s="22"/>
      <c r="DNU166" s="22"/>
      <c r="DNV166" s="22"/>
      <c r="DNW166" s="22"/>
      <c r="DNX166" s="22"/>
      <c r="DNY166" s="22"/>
      <c r="DNZ166" s="22"/>
      <c r="DOA166" s="22"/>
      <c r="DOB166" s="22"/>
      <c r="DOC166" s="22"/>
      <c r="DOD166" s="22"/>
      <c r="DOE166" s="22"/>
      <c r="DOF166" s="22"/>
      <c r="DOG166" s="22"/>
      <c r="DOH166" s="22"/>
      <c r="DOI166" s="22"/>
      <c r="DOJ166" s="22"/>
      <c r="DOK166" s="22"/>
      <c r="DOL166" s="22"/>
      <c r="DOM166" s="22"/>
      <c r="DON166" s="22"/>
      <c r="DOO166" s="22"/>
      <c r="DOP166" s="22"/>
      <c r="DOQ166" s="22"/>
      <c r="DOR166" s="22"/>
      <c r="DOS166" s="22"/>
      <c r="DOT166" s="22"/>
      <c r="DOU166" s="22"/>
      <c r="DOV166" s="22"/>
      <c r="DOW166" s="22"/>
      <c r="DOX166" s="22"/>
      <c r="DOY166" s="22"/>
      <c r="DOZ166" s="22"/>
      <c r="DPA166" s="22"/>
      <c r="DPB166" s="22"/>
      <c r="DPC166" s="22"/>
      <c r="DPD166" s="22"/>
      <c r="DPE166" s="22"/>
      <c r="DPF166" s="22"/>
      <c r="DPG166" s="22"/>
      <c r="DPH166" s="22"/>
      <c r="DPI166" s="22"/>
      <c r="DPJ166" s="22"/>
      <c r="DPK166" s="22"/>
      <c r="DPL166" s="22"/>
      <c r="DPM166" s="22"/>
      <c r="DPN166" s="22"/>
      <c r="DPO166" s="22"/>
      <c r="DPP166" s="22"/>
      <c r="DPQ166" s="22"/>
      <c r="DPR166" s="22"/>
      <c r="DPS166" s="22"/>
      <c r="DPT166" s="22"/>
      <c r="DPU166" s="22"/>
      <c r="DPV166" s="22"/>
      <c r="DPW166" s="22"/>
      <c r="DPX166" s="22"/>
      <c r="DPY166" s="22"/>
      <c r="DPZ166" s="22"/>
      <c r="DQA166" s="22"/>
      <c r="DQB166" s="22"/>
      <c r="DQC166" s="22"/>
      <c r="DQD166" s="22"/>
      <c r="DQE166" s="22"/>
      <c r="DQF166" s="22"/>
      <c r="DQG166" s="22"/>
      <c r="DQH166" s="22"/>
      <c r="DQI166" s="22"/>
      <c r="DQJ166" s="22"/>
      <c r="DQK166" s="22"/>
      <c r="DQL166" s="22"/>
      <c r="DQM166" s="22"/>
      <c r="DQN166" s="22"/>
      <c r="DQO166" s="22"/>
      <c r="DQP166" s="22"/>
      <c r="DQQ166" s="22"/>
      <c r="DQR166" s="22"/>
      <c r="DQS166" s="22"/>
      <c r="DQT166" s="22"/>
      <c r="DQU166" s="22"/>
      <c r="DQV166" s="22"/>
      <c r="DQW166" s="22"/>
      <c r="DQX166" s="22"/>
      <c r="DQY166" s="22"/>
      <c r="DQZ166" s="22"/>
      <c r="DRA166" s="22"/>
      <c r="DRB166" s="22"/>
      <c r="DRC166" s="22"/>
      <c r="DRD166" s="22"/>
      <c r="DRE166" s="22"/>
      <c r="DRF166" s="22"/>
      <c r="DRG166" s="22"/>
      <c r="DRH166" s="22"/>
      <c r="DRI166" s="22"/>
      <c r="DRJ166" s="22"/>
      <c r="DRK166" s="22"/>
      <c r="DRL166" s="22"/>
      <c r="DRM166" s="22"/>
      <c r="DRN166" s="22"/>
      <c r="DRO166" s="22"/>
      <c r="DRP166" s="22"/>
      <c r="DRQ166" s="22"/>
      <c r="DRR166" s="22"/>
      <c r="DRS166" s="22"/>
      <c r="DRT166" s="22"/>
      <c r="DRU166" s="22"/>
      <c r="DRV166" s="22"/>
      <c r="DRW166" s="22"/>
      <c r="DRX166" s="22"/>
      <c r="DRY166" s="22"/>
      <c r="DRZ166" s="22"/>
      <c r="DSA166" s="22"/>
      <c r="DSB166" s="22"/>
      <c r="DSC166" s="22"/>
      <c r="DSD166" s="22"/>
      <c r="DSE166" s="22"/>
      <c r="DSF166" s="22"/>
      <c r="DSG166" s="22"/>
      <c r="DSH166" s="22"/>
      <c r="DSI166" s="22"/>
      <c r="DSJ166" s="22"/>
      <c r="DSK166" s="22"/>
      <c r="DSL166" s="22"/>
      <c r="DSM166" s="22"/>
      <c r="DSN166" s="22"/>
      <c r="DSO166" s="22"/>
      <c r="DSP166" s="22"/>
      <c r="DSQ166" s="22"/>
      <c r="DSR166" s="22"/>
      <c r="DSS166" s="22"/>
      <c r="DST166" s="22"/>
      <c r="DSU166" s="22"/>
      <c r="DSV166" s="22"/>
      <c r="DSW166" s="22"/>
      <c r="DSX166" s="22"/>
      <c r="DSY166" s="22"/>
      <c r="DSZ166" s="22"/>
      <c r="DTA166" s="22"/>
      <c r="DTB166" s="22"/>
      <c r="DTC166" s="22"/>
      <c r="DTD166" s="22"/>
      <c r="DTE166" s="22"/>
      <c r="DTF166" s="22"/>
      <c r="DTG166" s="22"/>
      <c r="DTH166" s="22"/>
      <c r="DTI166" s="22"/>
      <c r="DTJ166" s="22"/>
      <c r="DTK166" s="22"/>
      <c r="DTL166" s="22"/>
      <c r="DTM166" s="22"/>
      <c r="DTN166" s="22"/>
      <c r="DTO166" s="22"/>
      <c r="DTP166" s="22"/>
      <c r="DTQ166" s="22"/>
      <c r="DTR166" s="22"/>
      <c r="DTS166" s="22"/>
      <c r="DTT166" s="22"/>
      <c r="DTU166" s="22"/>
      <c r="DTV166" s="22"/>
      <c r="DTW166" s="22"/>
      <c r="DTX166" s="22"/>
      <c r="DTY166" s="22"/>
      <c r="DTZ166" s="22"/>
      <c r="DUA166" s="22"/>
      <c r="DUB166" s="22"/>
      <c r="DUC166" s="22"/>
      <c r="DUD166" s="22"/>
      <c r="DUE166" s="22"/>
      <c r="DUF166" s="22"/>
      <c r="DUG166" s="22"/>
      <c r="DUH166" s="22"/>
      <c r="DUI166" s="22"/>
      <c r="DUJ166" s="22"/>
      <c r="DUK166" s="22"/>
      <c r="DUL166" s="22"/>
      <c r="DUM166" s="22"/>
      <c r="DUN166" s="22"/>
      <c r="DUO166" s="22"/>
      <c r="DUP166" s="22"/>
      <c r="DUQ166" s="22"/>
      <c r="DUR166" s="22"/>
      <c r="DUS166" s="22"/>
      <c r="DUT166" s="22"/>
      <c r="DUU166" s="22"/>
      <c r="DUV166" s="22"/>
      <c r="DUW166" s="22"/>
      <c r="DUX166" s="22"/>
      <c r="DUY166" s="22"/>
      <c r="DUZ166" s="22"/>
      <c r="DVA166" s="22"/>
      <c r="DVB166" s="22"/>
      <c r="DVC166" s="22"/>
      <c r="DVD166" s="22"/>
      <c r="DVE166" s="22"/>
      <c r="DVF166" s="22"/>
      <c r="DVG166" s="22"/>
      <c r="DVH166" s="22"/>
      <c r="DVI166" s="22"/>
      <c r="DVJ166" s="22"/>
      <c r="DVK166" s="22"/>
      <c r="DVL166" s="22"/>
      <c r="DVM166" s="22"/>
      <c r="DVN166" s="22"/>
      <c r="DVO166" s="22"/>
      <c r="DVP166" s="22"/>
      <c r="DVQ166" s="22"/>
      <c r="DVR166" s="22"/>
      <c r="DVS166" s="22"/>
      <c r="DVT166" s="22"/>
      <c r="DVU166" s="22"/>
      <c r="DVV166" s="22"/>
      <c r="DVW166" s="22"/>
      <c r="DVX166" s="22"/>
      <c r="DVY166" s="22"/>
      <c r="DVZ166" s="22"/>
      <c r="DWA166" s="22"/>
      <c r="DWB166" s="22"/>
      <c r="DWC166" s="22"/>
      <c r="DWD166" s="22"/>
      <c r="DWE166" s="22"/>
      <c r="DWF166" s="22"/>
      <c r="DWG166" s="22"/>
      <c r="DWH166" s="22"/>
      <c r="DWI166" s="22"/>
      <c r="DWJ166" s="22"/>
      <c r="DWK166" s="22"/>
      <c r="DWL166" s="22"/>
      <c r="DWM166" s="22"/>
      <c r="DWN166" s="22"/>
      <c r="DWO166" s="22"/>
      <c r="DWP166" s="22"/>
      <c r="DWQ166" s="22"/>
      <c r="DWR166" s="22"/>
      <c r="DWS166" s="22"/>
      <c r="DWT166" s="22"/>
      <c r="DWU166" s="22"/>
      <c r="DWV166" s="22"/>
      <c r="DWW166" s="22"/>
      <c r="DWX166" s="22"/>
      <c r="DWY166" s="22"/>
      <c r="DWZ166" s="22"/>
      <c r="DXA166" s="22"/>
      <c r="DXB166" s="22"/>
      <c r="DXC166" s="22"/>
      <c r="DXD166" s="22"/>
      <c r="DXE166" s="22"/>
      <c r="DXF166" s="22"/>
      <c r="DXG166" s="22"/>
      <c r="DXH166" s="22"/>
      <c r="DXI166" s="22"/>
      <c r="DXJ166" s="22"/>
      <c r="DXK166" s="22"/>
      <c r="DXL166" s="22"/>
      <c r="DXM166" s="22"/>
      <c r="DXN166" s="22"/>
      <c r="DXO166" s="22"/>
      <c r="DXP166" s="22"/>
      <c r="DXQ166" s="22"/>
      <c r="DXR166" s="22"/>
      <c r="DXS166" s="22"/>
      <c r="DXT166" s="22"/>
      <c r="DXU166" s="22"/>
      <c r="DXV166" s="22"/>
      <c r="DXW166" s="22"/>
      <c r="DXX166" s="22"/>
      <c r="DXY166" s="22"/>
      <c r="DXZ166" s="22"/>
      <c r="DYA166" s="22"/>
      <c r="DYB166" s="22"/>
      <c r="DYC166" s="22"/>
      <c r="DYD166" s="22"/>
      <c r="DYE166" s="22"/>
      <c r="DYF166" s="22"/>
      <c r="DYG166" s="22"/>
      <c r="DYH166" s="22"/>
      <c r="DYI166" s="22"/>
      <c r="DYJ166" s="22"/>
      <c r="DYK166" s="22"/>
      <c r="DYL166" s="22"/>
      <c r="DYM166" s="22"/>
      <c r="DYN166" s="22"/>
      <c r="DYO166" s="22"/>
      <c r="DYP166" s="22"/>
      <c r="DYQ166" s="22"/>
      <c r="DYR166" s="22"/>
      <c r="DYS166" s="22"/>
      <c r="DYT166" s="22"/>
      <c r="DYU166" s="22"/>
      <c r="DYV166" s="22"/>
      <c r="DYW166" s="22"/>
      <c r="DYX166" s="22"/>
      <c r="DYY166" s="22"/>
      <c r="DYZ166" s="22"/>
      <c r="DZA166" s="22"/>
      <c r="DZB166" s="22"/>
      <c r="DZC166" s="22"/>
      <c r="DZD166" s="22"/>
      <c r="DZE166" s="22"/>
      <c r="DZF166" s="22"/>
      <c r="DZG166" s="22"/>
      <c r="DZH166" s="22"/>
      <c r="DZI166" s="22"/>
      <c r="DZJ166" s="22"/>
      <c r="DZK166" s="22"/>
      <c r="DZL166" s="22"/>
      <c r="DZM166" s="22"/>
      <c r="DZN166" s="22"/>
      <c r="DZO166" s="22"/>
      <c r="DZP166" s="22"/>
      <c r="DZQ166" s="22"/>
      <c r="DZR166" s="22"/>
      <c r="DZS166" s="22"/>
      <c r="DZT166" s="22"/>
      <c r="DZU166" s="22"/>
      <c r="DZV166" s="22"/>
      <c r="DZW166" s="22"/>
      <c r="DZX166" s="22"/>
      <c r="DZY166" s="22"/>
      <c r="DZZ166" s="22"/>
      <c r="EAA166" s="22"/>
      <c r="EAB166" s="22"/>
      <c r="EAC166" s="22"/>
      <c r="EAD166" s="22"/>
      <c r="EAE166" s="22"/>
      <c r="EAF166" s="22"/>
      <c r="EAG166" s="22"/>
      <c r="EAH166" s="22"/>
      <c r="EAI166" s="22"/>
      <c r="EAJ166" s="22"/>
      <c r="EAK166" s="22"/>
      <c r="EAL166" s="22"/>
      <c r="EAM166" s="22"/>
      <c r="EAN166" s="22"/>
      <c r="EAO166" s="22"/>
      <c r="EAP166" s="22"/>
      <c r="EAQ166" s="22"/>
      <c r="EAR166" s="22"/>
      <c r="EAS166" s="22"/>
      <c r="EAT166" s="22"/>
      <c r="EAU166" s="22"/>
      <c r="EAV166" s="22"/>
      <c r="EAW166" s="22"/>
      <c r="EAX166" s="22"/>
      <c r="EAY166" s="22"/>
      <c r="EAZ166" s="22"/>
      <c r="EBA166" s="22"/>
      <c r="EBB166" s="22"/>
      <c r="EBC166" s="22"/>
      <c r="EBD166" s="22"/>
      <c r="EBE166" s="22"/>
      <c r="EBF166" s="22"/>
      <c r="EBG166" s="22"/>
      <c r="EBH166" s="22"/>
      <c r="EBI166" s="22"/>
      <c r="EBJ166" s="22"/>
      <c r="EBK166" s="22"/>
      <c r="EBL166" s="22"/>
      <c r="EBM166" s="22"/>
      <c r="EBN166" s="22"/>
      <c r="EBO166" s="22"/>
      <c r="EBP166" s="22"/>
      <c r="EBQ166" s="22"/>
      <c r="EBR166" s="22"/>
      <c r="EBS166" s="22"/>
      <c r="EBT166" s="22"/>
      <c r="EBU166" s="22"/>
      <c r="EBV166" s="22"/>
      <c r="EBW166" s="22"/>
      <c r="EBX166" s="22"/>
      <c r="EBY166" s="22"/>
      <c r="EBZ166" s="22"/>
      <c r="ECA166" s="22"/>
      <c r="ECB166" s="22"/>
      <c r="ECC166" s="22"/>
      <c r="ECD166" s="22"/>
      <c r="ECE166" s="22"/>
      <c r="ECF166" s="22"/>
      <c r="ECG166" s="22"/>
      <c r="ECH166" s="22"/>
      <c r="ECI166" s="22"/>
      <c r="ECJ166" s="22"/>
      <c r="ECK166" s="22"/>
      <c r="ECL166" s="22"/>
      <c r="ECM166" s="22"/>
      <c r="ECN166" s="22"/>
      <c r="ECO166" s="22"/>
      <c r="ECP166" s="22"/>
      <c r="ECQ166" s="22"/>
      <c r="ECR166" s="22"/>
      <c r="ECS166" s="22"/>
      <c r="ECT166" s="22"/>
      <c r="ECU166" s="22"/>
      <c r="ECV166" s="22"/>
      <c r="ECW166" s="22"/>
      <c r="ECX166" s="22"/>
      <c r="ECY166" s="22"/>
      <c r="ECZ166" s="22"/>
      <c r="EDA166" s="22"/>
      <c r="EDB166" s="22"/>
      <c r="EDC166" s="22"/>
      <c r="EDD166" s="22"/>
      <c r="EDE166" s="22"/>
      <c r="EDF166" s="22"/>
      <c r="EDG166" s="22"/>
      <c r="EDH166" s="22"/>
      <c r="EDI166" s="22"/>
      <c r="EDJ166" s="22"/>
      <c r="EDK166" s="22"/>
      <c r="EDL166" s="22"/>
      <c r="EDM166" s="22"/>
      <c r="EDN166" s="22"/>
      <c r="EDO166" s="22"/>
      <c r="EDP166" s="22"/>
      <c r="EDQ166" s="22"/>
      <c r="EDR166" s="22"/>
      <c r="EDS166" s="22"/>
      <c r="EDT166" s="22"/>
      <c r="EDU166" s="22"/>
      <c r="EDV166" s="22"/>
      <c r="EDW166" s="22"/>
      <c r="EDX166" s="22"/>
      <c r="EDY166" s="22"/>
      <c r="EDZ166" s="22"/>
      <c r="EEA166" s="22"/>
      <c r="EEB166" s="22"/>
      <c r="EEC166" s="22"/>
      <c r="EED166" s="22"/>
      <c r="EEE166" s="22"/>
      <c r="EEF166" s="22"/>
      <c r="EEG166" s="22"/>
      <c r="EEH166" s="22"/>
      <c r="EEI166" s="22"/>
      <c r="EEJ166" s="22"/>
      <c r="EEK166" s="22"/>
      <c r="EEL166" s="22"/>
      <c r="EEM166" s="22"/>
      <c r="EEN166" s="22"/>
      <c r="EEO166" s="22"/>
      <c r="EEP166" s="22"/>
      <c r="EEQ166" s="22"/>
      <c r="EER166" s="22"/>
      <c r="EES166" s="22"/>
      <c r="EET166" s="22"/>
      <c r="EEU166" s="22"/>
      <c r="EEV166" s="22"/>
      <c r="EEW166" s="22"/>
      <c r="EEX166" s="22"/>
      <c r="EEY166" s="22"/>
      <c r="EEZ166" s="22"/>
      <c r="EFA166" s="22"/>
      <c r="EFB166" s="22"/>
      <c r="EFC166" s="22"/>
      <c r="EFD166" s="22"/>
      <c r="EFE166" s="22"/>
      <c r="EFF166" s="22"/>
      <c r="EFG166" s="22"/>
      <c r="EFH166" s="22"/>
      <c r="EFI166" s="22"/>
      <c r="EFJ166" s="22"/>
      <c r="EFK166" s="22"/>
      <c r="EFL166" s="22"/>
      <c r="EFM166" s="22"/>
      <c r="EFN166" s="22"/>
      <c r="EFO166" s="22"/>
      <c r="EFP166" s="22"/>
      <c r="EFQ166" s="22"/>
      <c r="EFR166" s="22"/>
      <c r="EFS166" s="22"/>
      <c r="EFT166" s="22"/>
      <c r="EFU166" s="22"/>
      <c r="EFV166" s="22"/>
      <c r="EFW166" s="22"/>
      <c r="EFX166" s="22"/>
      <c r="EFY166" s="22"/>
      <c r="EFZ166" s="22"/>
      <c r="EGA166" s="22"/>
      <c r="EGB166" s="22"/>
      <c r="EGC166" s="22"/>
      <c r="EGD166" s="22"/>
      <c r="EGE166" s="22"/>
      <c r="EGF166" s="22"/>
      <c r="EGG166" s="22"/>
      <c r="EGH166" s="22"/>
      <c r="EGI166" s="22"/>
      <c r="EGJ166" s="22"/>
      <c r="EGK166" s="22"/>
      <c r="EGL166" s="22"/>
      <c r="EGM166" s="22"/>
      <c r="EGN166" s="22"/>
      <c r="EGO166" s="22"/>
      <c r="EGP166" s="22"/>
      <c r="EGQ166" s="22"/>
      <c r="EGR166" s="22"/>
      <c r="EGS166" s="22"/>
      <c r="EGT166" s="22"/>
      <c r="EGU166" s="22"/>
      <c r="EGV166" s="22"/>
      <c r="EGW166" s="22"/>
      <c r="EGX166" s="22"/>
      <c r="EGY166" s="22"/>
      <c r="EGZ166" s="22"/>
      <c r="EHA166" s="22"/>
      <c r="EHB166" s="22"/>
      <c r="EHC166" s="22"/>
      <c r="EHD166" s="22"/>
      <c r="EHE166" s="22"/>
      <c r="EHF166" s="22"/>
      <c r="EHG166" s="22"/>
      <c r="EHH166" s="22"/>
      <c r="EHI166" s="22"/>
      <c r="EHJ166" s="22"/>
      <c r="EHK166" s="22"/>
      <c r="EHL166" s="22"/>
      <c r="EHM166" s="22"/>
      <c r="EHN166" s="22"/>
      <c r="EHO166" s="22"/>
      <c r="EHP166" s="22"/>
      <c r="EHQ166" s="22"/>
      <c r="EHR166" s="22"/>
      <c r="EHS166" s="22"/>
      <c r="EHT166" s="22"/>
      <c r="EHU166" s="22"/>
      <c r="EHV166" s="22"/>
      <c r="EHW166" s="22"/>
      <c r="EHX166" s="22"/>
      <c r="EHY166" s="22"/>
      <c r="EHZ166" s="22"/>
      <c r="EIA166" s="22"/>
      <c r="EIB166" s="22"/>
      <c r="EIC166" s="22"/>
      <c r="EID166" s="22"/>
      <c r="EIE166" s="22"/>
      <c r="EIF166" s="22"/>
      <c r="EIG166" s="22"/>
      <c r="EIH166" s="22"/>
      <c r="EII166" s="22"/>
      <c r="EIJ166" s="22"/>
      <c r="EIK166" s="22"/>
      <c r="EIL166" s="22"/>
      <c r="EIM166" s="22"/>
      <c r="EIN166" s="22"/>
      <c r="EIO166" s="22"/>
      <c r="EIP166" s="22"/>
      <c r="EIQ166" s="22"/>
      <c r="EIR166" s="22"/>
      <c r="EIS166" s="22"/>
      <c r="EIT166" s="22"/>
      <c r="EIU166" s="22"/>
      <c r="EIV166" s="22"/>
      <c r="EIW166" s="22"/>
      <c r="EIX166" s="22"/>
      <c r="EIY166" s="22"/>
      <c r="EIZ166" s="22"/>
      <c r="EJA166" s="22"/>
      <c r="EJB166" s="22"/>
      <c r="EJC166" s="22"/>
      <c r="EJD166" s="22"/>
      <c r="EJE166" s="22"/>
      <c r="EJF166" s="22"/>
      <c r="EJG166" s="22"/>
      <c r="EJH166" s="22"/>
      <c r="EJI166" s="22"/>
      <c r="EJJ166" s="22"/>
      <c r="EJK166" s="22"/>
      <c r="EJL166" s="22"/>
      <c r="EJM166" s="22"/>
      <c r="EJN166" s="22"/>
      <c r="EJO166" s="22"/>
      <c r="EJP166" s="22"/>
      <c r="EJQ166" s="22"/>
      <c r="EJR166" s="22"/>
      <c r="EJS166" s="22"/>
      <c r="EJT166" s="22"/>
      <c r="EJU166" s="22"/>
      <c r="EJV166" s="22"/>
      <c r="EJW166" s="22"/>
      <c r="EJX166" s="22"/>
      <c r="EJY166" s="22"/>
      <c r="EJZ166" s="22"/>
      <c r="EKA166" s="22"/>
      <c r="EKB166" s="22"/>
      <c r="EKC166" s="22"/>
      <c r="EKD166" s="22"/>
      <c r="EKE166" s="22"/>
      <c r="EKF166" s="22"/>
      <c r="EKG166" s="22"/>
      <c r="EKH166" s="22"/>
      <c r="EKI166" s="22"/>
      <c r="EKJ166" s="22"/>
      <c r="EKK166" s="22"/>
      <c r="EKL166" s="22"/>
      <c r="EKM166" s="22"/>
      <c r="EKN166" s="22"/>
      <c r="EKO166" s="22"/>
      <c r="EKP166" s="22"/>
      <c r="EKQ166" s="22"/>
      <c r="EKR166" s="22"/>
      <c r="EKS166" s="22"/>
      <c r="EKT166" s="22"/>
      <c r="EKU166" s="22"/>
      <c r="EKV166" s="22"/>
      <c r="EKW166" s="22"/>
      <c r="EKX166" s="22"/>
      <c r="EKY166" s="22"/>
      <c r="EKZ166" s="22"/>
      <c r="ELA166" s="22"/>
      <c r="ELB166" s="22"/>
      <c r="ELC166" s="22"/>
      <c r="ELD166" s="22"/>
      <c r="ELE166" s="22"/>
      <c r="ELF166" s="22"/>
      <c r="ELG166" s="22"/>
      <c r="ELH166" s="22"/>
      <c r="ELI166" s="22"/>
      <c r="ELJ166" s="22"/>
      <c r="ELK166" s="22"/>
      <c r="ELL166" s="22"/>
      <c r="ELM166" s="22"/>
      <c r="ELN166" s="22"/>
      <c r="ELO166" s="22"/>
      <c r="ELP166" s="22"/>
      <c r="ELQ166" s="22"/>
      <c r="ELR166" s="22"/>
      <c r="ELS166" s="22"/>
      <c r="ELT166" s="22"/>
      <c r="ELU166" s="22"/>
      <c r="ELV166" s="22"/>
      <c r="ELW166" s="22"/>
      <c r="ELX166" s="22"/>
      <c r="ELY166" s="22"/>
      <c r="ELZ166" s="22"/>
      <c r="EMA166" s="22"/>
      <c r="EMB166" s="22"/>
      <c r="EMC166" s="22"/>
      <c r="EMD166" s="22"/>
      <c r="EME166" s="22"/>
      <c r="EMF166" s="22"/>
      <c r="EMG166" s="22"/>
      <c r="EMH166" s="22"/>
      <c r="EMI166" s="22"/>
      <c r="EMJ166" s="22"/>
      <c r="EMK166" s="22"/>
      <c r="EML166" s="22"/>
      <c r="EMM166" s="22"/>
      <c r="EMN166" s="22"/>
      <c r="EMO166" s="22"/>
      <c r="EMP166" s="22"/>
      <c r="EMQ166" s="22"/>
      <c r="EMR166" s="22"/>
      <c r="EMS166" s="22"/>
      <c r="EMT166" s="22"/>
      <c r="EMU166" s="22"/>
      <c r="EMV166" s="22"/>
      <c r="EMW166" s="22"/>
      <c r="EMX166" s="22"/>
      <c r="EMY166" s="22"/>
      <c r="EMZ166" s="22"/>
      <c r="ENA166" s="22"/>
      <c r="ENB166" s="22"/>
      <c r="ENC166" s="22"/>
      <c r="END166" s="22"/>
      <c r="ENE166" s="22"/>
      <c r="ENF166" s="22"/>
      <c r="ENG166" s="22"/>
      <c r="ENH166" s="22"/>
      <c r="ENI166" s="22"/>
      <c r="ENJ166" s="22"/>
      <c r="ENK166" s="22"/>
      <c r="ENL166" s="22"/>
      <c r="ENM166" s="22"/>
      <c r="ENN166" s="22"/>
      <c r="ENO166" s="22"/>
      <c r="ENP166" s="22"/>
      <c r="ENQ166" s="22"/>
      <c r="ENR166" s="22"/>
      <c r="ENS166" s="22"/>
      <c r="ENT166" s="22"/>
      <c r="ENU166" s="22"/>
      <c r="ENV166" s="22"/>
      <c r="ENW166" s="22"/>
      <c r="ENX166" s="22"/>
      <c r="ENY166" s="22"/>
      <c r="ENZ166" s="22"/>
      <c r="EOA166" s="22"/>
      <c r="EOB166" s="22"/>
      <c r="EOC166" s="22"/>
      <c r="EOD166" s="22"/>
      <c r="EOE166" s="22"/>
      <c r="EOF166" s="22"/>
      <c r="EOG166" s="22"/>
      <c r="EOH166" s="22"/>
      <c r="EOI166" s="22"/>
      <c r="EOJ166" s="22"/>
      <c r="EOK166" s="22"/>
      <c r="EOL166" s="22"/>
      <c r="EOM166" s="22"/>
      <c r="EON166" s="22"/>
      <c r="EOO166" s="22"/>
      <c r="EOP166" s="22"/>
      <c r="EOQ166" s="22"/>
      <c r="EOR166" s="22"/>
      <c r="EOS166" s="22"/>
      <c r="EOT166" s="22"/>
      <c r="EOU166" s="22"/>
      <c r="EOV166" s="22"/>
      <c r="EOW166" s="22"/>
      <c r="EOX166" s="22"/>
      <c r="EOY166" s="22"/>
      <c r="EOZ166" s="22"/>
      <c r="EPA166" s="22"/>
      <c r="EPB166" s="22"/>
      <c r="EPC166" s="22"/>
      <c r="EPD166" s="22"/>
      <c r="EPE166" s="22"/>
      <c r="EPF166" s="22"/>
      <c r="EPG166" s="22"/>
      <c r="EPH166" s="22"/>
      <c r="EPI166" s="22"/>
      <c r="EPJ166" s="22"/>
      <c r="EPK166" s="22"/>
      <c r="EPL166" s="22"/>
      <c r="EPM166" s="22"/>
      <c r="EPN166" s="22"/>
      <c r="EPO166" s="22"/>
      <c r="EPP166" s="22"/>
      <c r="EPQ166" s="22"/>
      <c r="EPR166" s="22"/>
      <c r="EPS166" s="22"/>
      <c r="EPT166" s="22"/>
      <c r="EPU166" s="22"/>
      <c r="EPV166" s="22"/>
      <c r="EPW166" s="22"/>
      <c r="EPX166" s="22"/>
      <c r="EPY166" s="22"/>
      <c r="EPZ166" s="22"/>
      <c r="EQA166" s="22"/>
      <c r="EQB166" s="22"/>
      <c r="EQC166" s="22"/>
      <c r="EQD166" s="22"/>
      <c r="EQE166" s="22"/>
      <c r="EQF166" s="22"/>
      <c r="EQG166" s="22"/>
      <c r="EQH166" s="22"/>
      <c r="EQI166" s="22"/>
      <c r="EQJ166" s="22"/>
      <c r="EQK166" s="22"/>
      <c r="EQL166" s="22"/>
      <c r="EQM166" s="22"/>
      <c r="EQN166" s="22"/>
      <c r="EQO166" s="22"/>
      <c r="EQP166" s="22"/>
      <c r="EQQ166" s="22"/>
      <c r="EQR166" s="22"/>
      <c r="EQS166" s="22"/>
      <c r="EQT166" s="22"/>
      <c r="EQU166" s="22"/>
      <c r="EQV166" s="22"/>
      <c r="EQW166" s="22"/>
      <c r="EQX166" s="22"/>
      <c r="EQY166" s="22"/>
      <c r="EQZ166" s="22"/>
      <c r="ERA166" s="22"/>
      <c r="ERB166" s="22"/>
      <c r="ERC166" s="22"/>
      <c r="ERD166" s="22"/>
      <c r="ERE166" s="22"/>
      <c r="ERF166" s="22"/>
      <c r="ERG166" s="22"/>
      <c r="ERH166" s="22"/>
      <c r="ERI166" s="22"/>
      <c r="ERJ166" s="22"/>
      <c r="ERK166" s="22"/>
      <c r="ERL166" s="22"/>
      <c r="ERM166" s="22"/>
      <c r="ERN166" s="22"/>
      <c r="ERO166" s="22"/>
      <c r="ERP166" s="22"/>
      <c r="ERQ166" s="22"/>
      <c r="ERR166" s="22"/>
      <c r="ERS166" s="22"/>
      <c r="ERT166" s="22"/>
      <c r="ERU166" s="22"/>
      <c r="ERV166" s="22"/>
      <c r="ERW166" s="22"/>
      <c r="ERX166" s="22"/>
      <c r="ERY166" s="22"/>
      <c r="ERZ166" s="22"/>
      <c r="ESA166" s="22"/>
      <c r="ESB166" s="22"/>
      <c r="ESC166" s="22"/>
      <c r="ESD166" s="22"/>
      <c r="ESE166" s="22"/>
      <c r="ESF166" s="22"/>
      <c r="ESG166" s="22"/>
      <c r="ESH166" s="22"/>
      <c r="ESI166" s="22"/>
      <c r="ESJ166" s="22"/>
      <c r="ESK166" s="22"/>
      <c r="ESL166" s="22"/>
      <c r="ESM166" s="22"/>
      <c r="ESN166" s="22"/>
      <c r="ESO166" s="22"/>
      <c r="ESP166" s="22"/>
      <c r="ESQ166" s="22"/>
      <c r="ESR166" s="22"/>
      <c r="ESS166" s="22"/>
      <c r="EST166" s="22"/>
      <c r="ESU166" s="22"/>
      <c r="ESV166" s="22"/>
      <c r="ESW166" s="22"/>
      <c r="ESX166" s="22"/>
      <c r="ESY166" s="22"/>
      <c r="ESZ166" s="22"/>
      <c r="ETA166" s="22"/>
      <c r="ETB166" s="22"/>
      <c r="ETC166" s="22"/>
      <c r="ETD166" s="22"/>
      <c r="ETE166" s="22"/>
      <c r="ETF166" s="22"/>
      <c r="ETG166" s="22"/>
      <c r="ETH166" s="22"/>
      <c r="ETI166" s="22"/>
      <c r="ETJ166" s="22"/>
      <c r="ETK166" s="22"/>
      <c r="ETL166" s="22"/>
      <c r="ETM166" s="22"/>
      <c r="ETN166" s="22"/>
      <c r="ETO166" s="22"/>
      <c r="ETP166" s="22"/>
      <c r="ETQ166" s="22"/>
      <c r="ETR166" s="22"/>
      <c r="ETS166" s="22"/>
      <c r="ETT166" s="22"/>
      <c r="ETU166" s="22"/>
      <c r="ETV166" s="22"/>
      <c r="ETW166" s="22"/>
      <c r="ETX166" s="22"/>
      <c r="ETY166" s="22"/>
      <c r="ETZ166" s="22"/>
      <c r="EUA166" s="22"/>
      <c r="EUB166" s="22"/>
      <c r="EUC166" s="22"/>
      <c r="EUD166" s="22"/>
      <c r="EUE166" s="22"/>
      <c r="EUF166" s="22"/>
      <c r="EUG166" s="22"/>
      <c r="EUH166" s="22"/>
      <c r="EUI166" s="22"/>
      <c r="EUJ166" s="22"/>
      <c r="EUK166" s="22"/>
      <c r="EUL166" s="22"/>
      <c r="EUM166" s="22"/>
      <c r="EUN166" s="22"/>
      <c r="EUO166" s="22"/>
      <c r="EUP166" s="22"/>
      <c r="EUQ166" s="22"/>
      <c r="EUR166" s="22"/>
      <c r="EUS166" s="22"/>
      <c r="EUT166" s="22"/>
      <c r="EUU166" s="22"/>
      <c r="EUV166" s="22"/>
      <c r="EUW166" s="22"/>
      <c r="EUX166" s="22"/>
      <c r="EUY166" s="22"/>
      <c r="EUZ166" s="22"/>
      <c r="EVA166" s="22"/>
      <c r="EVB166" s="22"/>
      <c r="EVC166" s="22"/>
      <c r="EVD166" s="22"/>
      <c r="EVE166" s="22"/>
      <c r="EVF166" s="22"/>
      <c r="EVG166" s="22"/>
      <c r="EVH166" s="22"/>
      <c r="EVI166" s="22"/>
      <c r="EVJ166" s="22"/>
      <c r="EVK166" s="22"/>
      <c r="EVL166" s="22"/>
      <c r="EVM166" s="22"/>
      <c r="EVN166" s="22"/>
      <c r="EVO166" s="22"/>
      <c r="EVP166" s="22"/>
      <c r="EVQ166" s="22"/>
      <c r="EVR166" s="22"/>
      <c r="EVS166" s="22"/>
      <c r="EVT166" s="22"/>
      <c r="EVU166" s="22"/>
      <c r="EVV166" s="22"/>
      <c r="EVW166" s="22"/>
      <c r="EVX166" s="22"/>
      <c r="EVY166" s="22"/>
      <c r="EVZ166" s="22"/>
      <c r="EWA166" s="22"/>
      <c r="EWB166" s="22"/>
      <c r="EWC166" s="22"/>
      <c r="EWD166" s="22"/>
      <c r="EWE166" s="22"/>
      <c r="EWF166" s="22"/>
      <c r="EWG166" s="22"/>
      <c r="EWH166" s="22"/>
      <c r="EWI166" s="22"/>
      <c r="EWJ166" s="22"/>
      <c r="EWK166" s="22"/>
      <c r="EWL166" s="22"/>
      <c r="EWM166" s="22"/>
      <c r="EWN166" s="22"/>
      <c r="EWO166" s="22"/>
      <c r="EWP166" s="22"/>
      <c r="EWQ166" s="22"/>
      <c r="EWR166" s="22"/>
      <c r="EWS166" s="22"/>
      <c r="EWT166" s="22"/>
      <c r="EWU166" s="22"/>
      <c r="EWV166" s="22"/>
      <c r="EWW166" s="22"/>
      <c r="EWX166" s="22"/>
      <c r="EWY166" s="22"/>
      <c r="EWZ166" s="22"/>
      <c r="EXA166" s="22"/>
      <c r="EXB166" s="22"/>
      <c r="EXC166" s="22"/>
      <c r="EXD166" s="22"/>
      <c r="EXE166" s="22"/>
      <c r="EXF166" s="22"/>
      <c r="EXG166" s="22"/>
      <c r="EXH166" s="22"/>
      <c r="EXI166" s="22"/>
      <c r="EXJ166" s="22"/>
      <c r="EXK166" s="22"/>
      <c r="EXL166" s="22"/>
      <c r="EXM166" s="22"/>
      <c r="EXN166" s="22"/>
      <c r="EXO166" s="22"/>
      <c r="EXP166" s="22"/>
      <c r="EXQ166" s="22"/>
      <c r="EXR166" s="22"/>
      <c r="EXS166" s="22"/>
      <c r="EXT166" s="22"/>
      <c r="EXU166" s="22"/>
      <c r="EXV166" s="22"/>
      <c r="EXW166" s="22"/>
      <c r="EXX166" s="22"/>
      <c r="EXY166" s="22"/>
      <c r="EXZ166" s="22"/>
      <c r="EYA166" s="22"/>
      <c r="EYB166" s="22"/>
      <c r="EYC166" s="22"/>
      <c r="EYD166" s="22"/>
      <c r="EYE166" s="22"/>
      <c r="EYF166" s="22"/>
      <c r="EYG166" s="22"/>
      <c r="EYH166" s="22"/>
      <c r="EYI166" s="22"/>
      <c r="EYJ166" s="22"/>
      <c r="EYK166" s="22"/>
      <c r="EYL166" s="22"/>
      <c r="EYM166" s="22"/>
      <c r="EYN166" s="22"/>
      <c r="EYO166" s="22"/>
      <c r="EYP166" s="22"/>
      <c r="EYQ166" s="22"/>
      <c r="EYR166" s="22"/>
      <c r="EYS166" s="22"/>
      <c r="EYT166" s="22"/>
      <c r="EYU166" s="22"/>
      <c r="EYV166" s="22"/>
      <c r="EYW166" s="22"/>
      <c r="EYX166" s="22"/>
      <c r="EYY166" s="22"/>
      <c r="EYZ166" s="22"/>
      <c r="EZA166" s="22"/>
      <c r="EZB166" s="22"/>
      <c r="EZC166" s="22"/>
      <c r="EZD166" s="22"/>
      <c r="EZE166" s="22"/>
      <c r="EZF166" s="22"/>
      <c r="EZG166" s="22"/>
      <c r="EZH166" s="22"/>
      <c r="EZI166" s="22"/>
      <c r="EZJ166" s="22"/>
      <c r="EZK166" s="22"/>
      <c r="EZL166" s="22"/>
      <c r="EZM166" s="22"/>
      <c r="EZN166" s="22"/>
      <c r="EZO166" s="22"/>
      <c r="EZP166" s="22"/>
      <c r="EZQ166" s="22"/>
      <c r="EZR166" s="22"/>
      <c r="EZS166" s="22"/>
      <c r="EZT166" s="22"/>
      <c r="EZU166" s="22"/>
      <c r="EZV166" s="22"/>
      <c r="EZW166" s="22"/>
      <c r="EZX166" s="22"/>
      <c r="EZY166" s="22"/>
      <c r="EZZ166" s="22"/>
      <c r="FAA166" s="22"/>
      <c r="FAB166" s="22"/>
      <c r="FAC166" s="22"/>
      <c r="FAD166" s="22"/>
      <c r="FAE166" s="22"/>
      <c r="FAF166" s="22"/>
      <c r="FAG166" s="22"/>
      <c r="FAH166" s="22"/>
      <c r="FAI166" s="22"/>
      <c r="FAJ166" s="22"/>
      <c r="FAK166" s="22"/>
      <c r="FAL166" s="22"/>
      <c r="FAM166" s="22"/>
      <c r="FAN166" s="22"/>
      <c r="FAO166" s="22"/>
      <c r="FAP166" s="22"/>
      <c r="FAQ166" s="22"/>
      <c r="FAR166" s="22"/>
      <c r="FAS166" s="22"/>
      <c r="FAT166" s="22"/>
      <c r="FAU166" s="22"/>
      <c r="FAV166" s="22"/>
      <c r="FAW166" s="22"/>
      <c r="FAX166" s="22"/>
      <c r="FAY166" s="22"/>
      <c r="FAZ166" s="22"/>
      <c r="FBA166" s="22"/>
      <c r="FBB166" s="22"/>
      <c r="FBC166" s="22"/>
      <c r="FBD166" s="22"/>
      <c r="FBE166" s="22"/>
      <c r="FBF166" s="22"/>
      <c r="FBG166" s="22"/>
      <c r="FBH166" s="22"/>
      <c r="FBI166" s="22"/>
      <c r="FBJ166" s="22"/>
      <c r="FBK166" s="22"/>
      <c r="FBL166" s="22"/>
      <c r="FBM166" s="22"/>
      <c r="FBN166" s="22"/>
      <c r="FBO166" s="22"/>
      <c r="FBP166" s="22"/>
      <c r="FBQ166" s="22"/>
      <c r="FBR166" s="22"/>
      <c r="FBS166" s="22"/>
      <c r="FBT166" s="22"/>
      <c r="FBU166" s="22"/>
      <c r="FBV166" s="22"/>
      <c r="FBW166" s="22"/>
      <c r="FBX166" s="22"/>
      <c r="FBY166" s="22"/>
      <c r="FBZ166" s="22"/>
      <c r="FCA166" s="22"/>
      <c r="FCB166" s="22"/>
      <c r="FCC166" s="22"/>
      <c r="FCD166" s="22"/>
      <c r="FCE166" s="22"/>
      <c r="FCF166" s="22"/>
      <c r="FCG166" s="22"/>
      <c r="FCH166" s="22"/>
      <c r="FCI166" s="22"/>
      <c r="FCJ166" s="22"/>
      <c r="FCK166" s="22"/>
      <c r="FCL166" s="22"/>
      <c r="FCM166" s="22"/>
      <c r="FCN166" s="22"/>
      <c r="FCO166" s="22"/>
      <c r="FCP166" s="22"/>
      <c r="FCQ166" s="22"/>
      <c r="FCR166" s="22"/>
      <c r="FCS166" s="22"/>
      <c r="FCT166" s="22"/>
      <c r="FCU166" s="22"/>
      <c r="FCV166" s="22"/>
      <c r="FCW166" s="22"/>
      <c r="FCX166" s="22"/>
      <c r="FCY166" s="22"/>
      <c r="FCZ166" s="22"/>
      <c r="FDA166" s="22"/>
      <c r="FDB166" s="22"/>
      <c r="FDC166" s="22"/>
      <c r="FDD166" s="22"/>
      <c r="FDE166" s="22"/>
      <c r="FDF166" s="22"/>
      <c r="FDG166" s="22"/>
      <c r="FDH166" s="22"/>
      <c r="FDI166" s="22"/>
      <c r="FDJ166" s="22"/>
      <c r="FDK166" s="22"/>
      <c r="FDL166" s="22"/>
      <c r="FDM166" s="22"/>
      <c r="FDN166" s="22"/>
      <c r="FDO166" s="22"/>
      <c r="FDP166" s="22"/>
      <c r="FDQ166" s="22"/>
      <c r="FDR166" s="22"/>
      <c r="FDS166" s="22"/>
      <c r="FDT166" s="22"/>
      <c r="FDU166" s="22"/>
      <c r="FDV166" s="22"/>
      <c r="FDW166" s="22"/>
      <c r="FDX166" s="22"/>
      <c r="FDY166" s="22"/>
      <c r="FDZ166" s="22"/>
      <c r="FEA166" s="22"/>
      <c r="FEB166" s="22"/>
      <c r="FEC166" s="22"/>
      <c r="FED166" s="22"/>
      <c r="FEE166" s="22"/>
      <c r="FEF166" s="22"/>
      <c r="FEG166" s="22"/>
      <c r="FEH166" s="22"/>
      <c r="FEI166" s="22"/>
      <c r="FEJ166" s="22"/>
      <c r="FEK166" s="22"/>
      <c r="FEL166" s="22"/>
      <c r="FEM166" s="22"/>
      <c r="FEN166" s="22"/>
      <c r="FEO166" s="22"/>
      <c r="FEP166" s="22"/>
      <c r="FEQ166" s="22"/>
      <c r="FER166" s="22"/>
      <c r="FES166" s="22"/>
      <c r="FET166" s="22"/>
      <c r="FEU166" s="22"/>
      <c r="FEV166" s="22"/>
      <c r="FEW166" s="22"/>
      <c r="FEX166" s="22"/>
      <c r="FEY166" s="22"/>
      <c r="FEZ166" s="22"/>
      <c r="FFA166" s="22"/>
      <c r="FFB166" s="22"/>
      <c r="FFC166" s="22"/>
      <c r="FFD166" s="22"/>
      <c r="FFE166" s="22"/>
      <c r="FFF166" s="22"/>
      <c r="FFG166" s="22"/>
      <c r="FFH166" s="22"/>
      <c r="FFI166" s="22"/>
      <c r="FFJ166" s="22"/>
      <c r="FFK166" s="22"/>
      <c r="FFL166" s="22"/>
      <c r="FFM166" s="22"/>
      <c r="FFN166" s="22"/>
      <c r="FFO166" s="22"/>
      <c r="FFP166" s="22"/>
      <c r="FFQ166" s="22"/>
      <c r="FFR166" s="22"/>
      <c r="FFS166" s="22"/>
      <c r="FFT166" s="22"/>
      <c r="FFU166" s="22"/>
      <c r="FFV166" s="22"/>
      <c r="FFW166" s="22"/>
      <c r="FFX166" s="22"/>
      <c r="FFY166" s="22"/>
      <c r="FFZ166" s="22"/>
      <c r="FGA166" s="22"/>
      <c r="FGB166" s="22"/>
      <c r="FGC166" s="22"/>
      <c r="FGD166" s="22"/>
      <c r="FGE166" s="22"/>
      <c r="FGF166" s="22"/>
      <c r="FGG166" s="22"/>
      <c r="FGH166" s="22"/>
      <c r="FGI166" s="22"/>
      <c r="FGJ166" s="22"/>
      <c r="FGK166" s="22"/>
      <c r="FGL166" s="22"/>
      <c r="FGM166" s="22"/>
      <c r="FGN166" s="22"/>
      <c r="FGO166" s="22"/>
      <c r="FGP166" s="22"/>
      <c r="FGQ166" s="22"/>
      <c r="FGR166" s="22"/>
      <c r="FGS166" s="22"/>
      <c r="FGT166" s="22"/>
      <c r="FGU166" s="22"/>
      <c r="FGV166" s="22"/>
      <c r="FGW166" s="22"/>
      <c r="FGX166" s="22"/>
      <c r="FGY166" s="22"/>
      <c r="FGZ166" s="22"/>
      <c r="FHA166" s="22"/>
      <c r="FHB166" s="22"/>
      <c r="FHC166" s="22"/>
      <c r="FHD166" s="22"/>
      <c r="FHE166" s="22"/>
      <c r="FHF166" s="22"/>
      <c r="FHG166" s="22"/>
      <c r="FHH166" s="22"/>
      <c r="FHI166" s="22"/>
      <c r="FHJ166" s="22"/>
      <c r="FHK166" s="22"/>
      <c r="FHL166" s="22"/>
      <c r="FHM166" s="22"/>
      <c r="FHN166" s="22"/>
      <c r="FHO166" s="22"/>
      <c r="FHP166" s="22"/>
      <c r="FHQ166" s="22"/>
      <c r="FHR166" s="22"/>
      <c r="FHS166" s="22"/>
      <c r="FHT166" s="22"/>
      <c r="FHU166" s="22"/>
      <c r="FHV166" s="22"/>
      <c r="FHW166" s="22"/>
      <c r="FHX166" s="22"/>
      <c r="FHY166" s="22"/>
      <c r="FHZ166" s="22"/>
      <c r="FIA166" s="22"/>
      <c r="FIB166" s="22"/>
      <c r="FIC166" s="22"/>
      <c r="FID166" s="22"/>
      <c r="FIE166" s="22"/>
      <c r="FIF166" s="22"/>
      <c r="FIG166" s="22"/>
      <c r="FIH166" s="22"/>
      <c r="FII166" s="22"/>
      <c r="FIJ166" s="22"/>
      <c r="FIK166" s="22"/>
      <c r="FIL166" s="22"/>
      <c r="FIM166" s="22"/>
      <c r="FIN166" s="22"/>
      <c r="FIO166" s="22"/>
      <c r="FIP166" s="22"/>
      <c r="FIQ166" s="22"/>
      <c r="FIR166" s="22"/>
      <c r="FIS166" s="22"/>
      <c r="FIT166" s="22"/>
      <c r="FIU166" s="22"/>
      <c r="FIV166" s="22"/>
      <c r="FIW166" s="22"/>
      <c r="FIX166" s="22"/>
      <c r="FIY166" s="22"/>
      <c r="FIZ166" s="22"/>
      <c r="FJA166" s="22"/>
      <c r="FJB166" s="22"/>
      <c r="FJC166" s="22"/>
      <c r="FJD166" s="22"/>
      <c r="FJE166" s="22"/>
      <c r="FJF166" s="22"/>
      <c r="FJG166" s="22"/>
      <c r="FJH166" s="22"/>
      <c r="FJI166" s="22"/>
      <c r="FJJ166" s="22"/>
      <c r="FJK166" s="22"/>
      <c r="FJL166" s="22"/>
      <c r="FJM166" s="22"/>
      <c r="FJN166" s="22"/>
      <c r="FJO166" s="22"/>
      <c r="FJP166" s="22"/>
      <c r="FJQ166" s="22"/>
      <c r="FJR166" s="22"/>
      <c r="FJS166" s="22"/>
      <c r="FJT166" s="22"/>
      <c r="FJU166" s="22"/>
      <c r="FJV166" s="22"/>
      <c r="FJW166" s="22"/>
      <c r="FJX166" s="22"/>
      <c r="FJY166" s="22"/>
      <c r="FJZ166" s="22"/>
      <c r="FKA166" s="22"/>
      <c r="FKB166" s="22"/>
      <c r="FKC166" s="22"/>
      <c r="FKD166" s="22"/>
      <c r="FKE166" s="22"/>
      <c r="FKF166" s="22"/>
      <c r="FKG166" s="22"/>
      <c r="FKH166" s="22"/>
      <c r="FKI166" s="22"/>
      <c r="FKJ166" s="22"/>
      <c r="FKK166" s="22"/>
      <c r="FKL166" s="22"/>
      <c r="FKM166" s="22"/>
      <c r="FKN166" s="22"/>
      <c r="FKO166" s="22"/>
      <c r="FKP166" s="22"/>
      <c r="FKQ166" s="22"/>
      <c r="FKR166" s="22"/>
      <c r="FKS166" s="22"/>
      <c r="FKT166" s="22"/>
      <c r="FKU166" s="22"/>
      <c r="FKV166" s="22"/>
      <c r="FKW166" s="22"/>
      <c r="FKX166" s="22"/>
      <c r="FKY166" s="22"/>
      <c r="FKZ166" s="22"/>
      <c r="FLA166" s="22"/>
      <c r="FLB166" s="22"/>
      <c r="FLC166" s="22"/>
      <c r="FLD166" s="22"/>
      <c r="FLE166" s="22"/>
      <c r="FLF166" s="22"/>
      <c r="FLG166" s="22"/>
      <c r="FLH166" s="22"/>
      <c r="FLI166" s="22"/>
      <c r="FLJ166" s="22"/>
      <c r="FLK166" s="22"/>
      <c r="FLL166" s="22"/>
      <c r="FLM166" s="22"/>
      <c r="FLN166" s="22"/>
      <c r="FLO166" s="22"/>
      <c r="FLP166" s="22"/>
      <c r="FLQ166" s="22"/>
      <c r="FLR166" s="22"/>
      <c r="FLS166" s="22"/>
      <c r="FLT166" s="22"/>
      <c r="FLU166" s="22"/>
      <c r="FLV166" s="22"/>
      <c r="FLW166" s="22"/>
      <c r="FLX166" s="22"/>
      <c r="FLY166" s="22"/>
      <c r="FLZ166" s="22"/>
      <c r="FMA166" s="22"/>
      <c r="FMB166" s="22"/>
      <c r="FMC166" s="22"/>
      <c r="FMD166" s="22"/>
      <c r="FME166" s="22"/>
      <c r="FMF166" s="22"/>
      <c r="FMG166" s="22"/>
      <c r="FMH166" s="22"/>
      <c r="FMI166" s="22"/>
      <c r="FMJ166" s="22"/>
      <c r="FMK166" s="22"/>
      <c r="FML166" s="22"/>
      <c r="FMM166" s="22"/>
      <c r="FMN166" s="22"/>
      <c r="FMO166" s="22"/>
      <c r="FMP166" s="22"/>
      <c r="FMQ166" s="22"/>
      <c r="FMR166" s="22"/>
      <c r="FMS166" s="22"/>
      <c r="FMT166" s="22"/>
      <c r="FMU166" s="22"/>
      <c r="FMV166" s="22"/>
      <c r="FMW166" s="22"/>
      <c r="FMX166" s="22"/>
      <c r="FMY166" s="22"/>
      <c r="FMZ166" s="22"/>
      <c r="FNA166" s="22"/>
      <c r="FNB166" s="22"/>
      <c r="FNC166" s="22"/>
      <c r="FND166" s="22"/>
      <c r="FNE166" s="22"/>
      <c r="FNF166" s="22"/>
      <c r="FNG166" s="22"/>
      <c r="FNH166" s="22"/>
      <c r="FNI166" s="22"/>
      <c r="FNJ166" s="22"/>
      <c r="FNK166" s="22"/>
      <c r="FNL166" s="22"/>
      <c r="FNM166" s="22"/>
      <c r="FNN166" s="22"/>
      <c r="FNO166" s="22"/>
      <c r="FNP166" s="22"/>
      <c r="FNQ166" s="22"/>
      <c r="FNR166" s="22"/>
      <c r="FNS166" s="22"/>
      <c r="FNT166" s="22"/>
      <c r="FNU166" s="22"/>
      <c r="FNV166" s="22"/>
      <c r="FNW166" s="22"/>
      <c r="FNX166" s="22"/>
      <c r="FNY166" s="22"/>
      <c r="FNZ166" s="22"/>
      <c r="FOA166" s="22"/>
      <c r="FOB166" s="22"/>
      <c r="FOC166" s="22"/>
      <c r="FOD166" s="22"/>
      <c r="FOE166" s="22"/>
      <c r="FOF166" s="22"/>
      <c r="FOG166" s="22"/>
      <c r="FOH166" s="22"/>
      <c r="FOI166" s="22"/>
      <c r="FOJ166" s="22"/>
      <c r="FOK166" s="22"/>
      <c r="FOL166" s="22"/>
      <c r="FOM166" s="22"/>
      <c r="FON166" s="22"/>
      <c r="FOO166" s="22"/>
      <c r="FOP166" s="22"/>
      <c r="FOQ166" s="22"/>
      <c r="FOR166" s="22"/>
      <c r="FOS166" s="22"/>
      <c r="FOT166" s="22"/>
      <c r="FOU166" s="22"/>
      <c r="FOV166" s="22"/>
      <c r="FOW166" s="22"/>
      <c r="FOX166" s="22"/>
      <c r="FOY166" s="22"/>
      <c r="FOZ166" s="22"/>
      <c r="FPA166" s="22"/>
      <c r="FPB166" s="22"/>
      <c r="FPC166" s="22"/>
      <c r="FPD166" s="22"/>
      <c r="FPE166" s="22"/>
      <c r="FPF166" s="22"/>
      <c r="FPG166" s="22"/>
      <c r="FPH166" s="22"/>
      <c r="FPI166" s="22"/>
      <c r="FPJ166" s="22"/>
      <c r="FPK166" s="22"/>
      <c r="FPL166" s="22"/>
      <c r="FPM166" s="22"/>
      <c r="FPN166" s="22"/>
      <c r="FPO166" s="22"/>
      <c r="FPP166" s="22"/>
      <c r="FPQ166" s="22"/>
      <c r="FPR166" s="22"/>
      <c r="FPS166" s="22"/>
      <c r="FPT166" s="22"/>
      <c r="FPU166" s="22"/>
      <c r="FPV166" s="22"/>
      <c r="FPW166" s="22"/>
      <c r="FPX166" s="22"/>
      <c r="FPY166" s="22"/>
      <c r="FPZ166" s="22"/>
      <c r="FQA166" s="22"/>
      <c r="FQB166" s="22"/>
      <c r="FQC166" s="22"/>
      <c r="FQD166" s="22"/>
      <c r="FQE166" s="22"/>
      <c r="FQF166" s="22"/>
      <c r="FQG166" s="22"/>
      <c r="FQH166" s="22"/>
      <c r="FQI166" s="22"/>
      <c r="FQJ166" s="22"/>
      <c r="FQK166" s="22"/>
      <c r="FQL166" s="22"/>
      <c r="FQM166" s="22"/>
      <c r="FQN166" s="22"/>
      <c r="FQO166" s="22"/>
      <c r="FQP166" s="22"/>
      <c r="FQQ166" s="22"/>
      <c r="FQR166" s="22"/>
      <c r="FQS166" s="22"/>
      <c r="FQT166" s="22"/>
      <c r="FQU166" s="22"/>
      <c r="FQV166" s="22"/>
      <c r="FQW166" s="22"/>
      <c r="FQX166" s="22"/>
      <c r="FQY166" s="22"/>
      <c r="FQZ166" s="22"/>
      <c r="FRA166" s="22"/>
      <c r="FRB166" s="22"/>
      <c r="FRC166" s="22"/>
      <c r="FRD166" s="22"/>
      <c r="FRE166" s="22"/>
      <c r="FRF166" s="22"/>
      <c r="FRG166" s="22"/>
      <c r="FRH166" s="22"/>
      <c r="FRI166" s="22"/>
      <c r="FRJ166" s="22"/>
      <c r="FRK166" s="22"/>
      <c r="FRL166" s="22"/>
      <c r="FRM166" s="22"/>
      <c r="FRN166" s="22"/>
      <c r="FRO166" s="22"/>
      <c r="FRP166" s="22"/>
      <c r="FRQ166" s="22"/>
      <c r="FRR166" s="22"/>
      <c r="FRS166" s="22"/>
      <c r="FRT166" s="22"/>
      <c r="FRU166" s="22"/>
      <c r="FRV166" s="22"/>
      <c r="FRW166" s="22"/>
      <c r="FRX166" s="22"/>
      <c r="FRY166" s="22"/>
      <c r="FRZ166" s="22"/>
      <c r="FSA166" s="22"/>
      <c r="FSB166" s="22"/>
      <c r="FSC166" s="22"/>
      <c r="FSD166" s="22"/>
      <c r="FSE166" s="22"/>
      <c r="FSF166" s="22"/>
      <c r="FSG166" s="22"/>
      <c r="FSH166" s="22"/>
      <c r="FSI166" s="22"/>
      <c r="FSJ166" s="22"/>
      <c r="FSK166" s="22"/>
      <c r="FSL166" s="22"/>
      <c r="FSM166" s="22"/>
      <c r="FSN166" s="22"/>
      <c r="FSO166" s="22"/>
      <c r="FSP166" s="22"/>
      <c r="FSQ166" s="22"/>
      <c r="FSR166" s="22"/>
      <c r="FSS166" s="22"/>
      <c r="FST166" s="22"/>
      <c r="FSU166" s="22"/>
      <c r="FSV166" s="22"/>
      <c r="FSW166" s="22"/>
      <c r="FSX166" s="22"/>
      <c r="FSY166" s="22"/>
      <c r="FSZ166" s="22"/>
      <c r="FTA166" s="22"/>
      <c r="FTB166" s="22"/>
      <c r="FTC166" s="22"/>
      <c r="FTD166" s="22"/>
      <c r="FTE166" s="22"/>
      <c r="FTF166" s="22"/>
      <c r="FTG166" s="22"/>
      <c r="FTH166" s="22"/>
      <c r="FTI166" s="22"/>
      <c r="FTJ166" s="22"/>
      <c r="FTK166" s="22"/>
      <c r="FTL166" s="22"/>
      <c r="FTM166" s="22"/>
      <c r="FTN166" s="22"/>
      <c r="FTO166" s="22"/>
      <c r="FTP166" s="22"/>
      <c r="FTQ166" s="22"/>
      <c r="FTR166" s="22"/>
      <c r="FTS166" s="22"/>
      <c r="FTT166" s="22"/>
      <c r="FTU166" s="22"/>
      <c r="FTV166" s="22"/>
      <c r="FTW166" s="22"/>
      <c r="FTX166" s="22"/>
      <c r="FTY166" s="22"/>
      <c r="FTZ166" s="22"/>
      <c r="FUA166" s="22"/>
      <c r="FUB166" s="22"/>
      <c r="FUC166" s="22"/>
      <c r="FUD166" s="22"/>
      <c r="FUE166" s="22"/>
      <c r="FUF166" s="22"/>
      <c r="FUG166" s="22"/>
      <c r="FUH166" s="22"/>
      <c r="FUI166" s="22"/>
      <c r="FUJ166" s="22"/>
      <c r="FUK166" s="22"/>
      <c r="FUL166" s="22"/>
      <c r="FUM166" s="22"/>
      <c r="FUN166" s="22"/>
      <c r="FUO166" s="22"/>
      <c r="FUP166" s="22"/>
      <c r="FUQ166" s="22"/>
      <c r="FUR166" s="22"/>
      <c r="FUS166" s="22"/>
      <c r="FUT166" s="22"/>
      <c r="FUU166" s="22"/>
      <c r="FUV166" s="22"/>
      <c r="FUW166" s="22"/>
      <c r="FUX166" s="22"/>
      <c r="FUY166" s="22"/>
      <c r="FUZ166" s="22"/>
      <c r="FVA166" s="22"/>
      <c r="FVB166" s="22"/>
      <c r="FVC166" s="22"/>
      <c r="FVD166" s="22"/>
      <c r="FVE166" s="22"/>
      <c r="FVF166" s="22"/>
      <c r="FVG166" s="22"/>
      <c r="FVH166" s="22"/>
      <c r="FVI166" s="22"/>
      <c r="FVJ166" s="22"/>
      <c r="FVK166" s="22"/>
      <c r="FVL166" s="22"/>
      <c r="FVM166" s="22"/>
      <c r="FVN166" s="22"/>
      <c r="FVO166" s="22"/>
      <c r="FVP166" s="22"/>
      <c r="FVQ166" s="22"/>
      <c r="FVR166" s="22"/>
      <c r="FVS166" s="22"/>
      <c r="FVT166" s="22"/>
      <c r="FVU166" s="22"/>
      <c r="FVV166" s="22"/>
      <c r="FVW166" s="22"/>
      <c r="FVX166" s="22"/>
      <c r="FVY166" s="22"/>
      <c r="FVZ166" s="22"/>
      <c r="FWA166" s="22"/>
      <c r="FWB166" s="22"/>
      <c r="FWC166" s="22"/>
      <c r="FWD166" s="22"/>
      <c r="FWE166" s="22"/>
      <c r="FWF166" s="22"/>
      <c r="FWG166" s="22"/>
      <c r="FWH166" s="22"/>
      <c r="FWI166" s="22"/>
      <c r="FWJ166" s="22"/>
      <c r="FWK166" s="22"/>
      <c r="FWL166" s="22"/>
      <c r="FWM166" s="22"/>
      <c r="FWN166" s="22"/>
      <c r="FWO166" s="22"/>
      <c r="FWP166" s="22"/>
      <c r="FWQ166" s="22"/>
      <c r="FWR166" s="22"/>
      <c r="FWS166" s="22"/>
      <c r="FWT166" s="22"/>
      <c r="FWU166" s="22"/>
      <c r="FWV166" s="22"/>
      <c r="FWW166" s="22"/>
      <c r="FWX166" s="22"/>
      <c r="FWY166" s="22"/>
      <c r="FWZ166" s="22"/>
      <c r="FXA166" s="22"/>
      <c r="FXB166" s="22"/>
      <c r="FXC166" s="22"/>
      <c r="FXD166" s="22"/>
      <c r="FXE166" s="22"/>
      <c r="FXF166" s="22"/>
      <c r="FXG166" s="22"/>
      <c r="FXH166" s="22"/>
      <c r="FXI166" s="22"/>
      <c r="FXJ166" s="22"/>
      <c r="FXK166" s="22"/>
      <c r="FXL166" s="22"/>
      <c r="FXM166" s="22"/>
      <c r="FXN166" s="22"/>
      <c r="FXO166" s="22"/>
      <c r="FXP166" s="22"/>
      <c r="FXQ166" s="22"/>
      <c r="FXR166" s="22"/>
      <c r="FXS166" s="22"/>
      <c r="FXT166" s="22"/>
      <c r="FXU166" s="22"/>
      <c r="FXV166" s="22"/>
      <c r="FXW166" s="22"/>
      <c r="FXX166" s="22"/>
      <c r="FXY166" s="22"/>
      <c r="FXZ166" s="22"/>
      <c r="FYA166" s="22"/>
      <c r="FYB166" s="22"/>
      <c r="FYC166" s="22"/>
      <c r="FYD166" s="22"/>
      <c r="FYE166" s="22"/>
      <c r="FYF166" s="22"/>
      <c r="FYG166" s="22"/>
      <c r="FYH166" s="22"/>
      <c r="FYI166" s="22"/>
      <c r="FYJ166" s="22"/>
      <c r="FYK166" s="22"/>
      <c r="FYL166" s="22"/>
      <c r="FYM166" s="22"/>
      <c r="FYN166" s="22"/>
      <c r="FYO166" s="22"/>
      <c r="FYP166" s="22"/>
      <c r="FYQ166" s="22"/>
      <c r="FYR166" s="22"/>
      <c r="FYS166" s="22"/>
      <c r="FYT166" s="22"/>
      <c r="FYU166" s="22"/>
      <c r="FYV166" s="22"/>
      <c r="FYW166" s="22"/>
      <c r="FYX166" s="22"/>
      <c r="FYY166" s="22"/>
      <c r="FYZ166" s="22"/>
      <c r="FZA166" s="22"/>
      <c r="FZB166" s="22"/>
      <c r="FZC166" s="22"/>
      <c r="FZD166" s="22"/>
      <c r="FZE166" s="22"/>
      <c r="FZF166" s="22"/>
      <c r="FZG166" s="22"/>
      <c r="FZH166" s="22"/>
      <c r="FZI166" s="22"/>
      <c r="FZJ166" s="22"/>
      <c r="FZK166" s="22"/>
      <c r="FZL166" s="22"/>
      <c r="FZM166" s="22"/>
      <c r="FZN166" s="22"/>
      <c r="FZO166" s="22"/>
      <c r="FZP166" s="22"/>
      <c r="FZQ166" s="22"/>
      <c r="FZR166" s="22"/>
      <c r="FZS166" s="22"/>
      <c r="FZT166" s="22"/>
      <c r="FZU166" s="22"/>
      <c r="FZV166" s="22"/>
      <c r="FZW166" s="22"/>
      <c r="FZX166" s="22"/>
      <c r="FZY166" s="22"/>
      <c r="FZZ166" s="22"/>
      <c r="GAA166" s="22"/>
      <c r="GAB166" s="22"/>
      <c r="GAC166" s="22"/>
      <c r="GAD166" s="22"/>
      <c r="GAE166" s="22"/>
      <c r="GAF166" s="22"/>
      <c r="GAG166" s="22"/>
      <c r="GAH166" s="22"/>
      <c r="GAI166" s="22"/>
      <c r="GAJ166" s="22"/>
      <c r="GAK166" s="22"/>
      <c r="GAL166" s="22"/>
      <c r="GAM166" s="22"/>
      <c r="GAN166" s="22"/>
      <c r="GAO166" s="22"/>
      <c r="GAP166" s="22"/>
      <c r="GAQ166" s="22"/>
      <c r="GAR166" s="22"/>
      <c r="GAS166" s="22"/>
      <c r="GAT166" s="22"/>
      <c r="GAU166" s="22"/>
      <c r="GAV166" s="22"/>
      <c r="GAW166" s="22"/>
      <c r="GAX166" s="22"/>
      <c r="GAY166" s="22"/>
      <c r="GAZ166" s="22"/>
      <c r="GBA166" s="22"/>
      <c r="GBB166" s="22"/>
      <c r="GBC166" s="22"/>
      <c r="GBD166" s="22"/>
      <c r="GBE166" s="22"/>
      <c r="GBF166" s="22"/>
      <c r="GBG166" s="22"/>
      <c r="GBH166" s="22"/>
      <c r="GBI166" s="22"/>
      <c r="GBJ166" s="22"/>
      <c r="GBK166" s="22"/>
      <c r="GBL166" s="22"/>
      <c r="GBM166" s="22"/>
      <c r="GBN166" s="22"/>
      <c r="GBO166" s="22"/>
      <c r="GBP166" s="22"/>
      <c r="GBQ166" s="22"/>
      <c r="GBR166" s="22"/>
      <c r="GBS166" s="22"/>
      <c r="GBT166" s="22"/>
      <c r="GBU166" s="22"/>
      <c r="GBV166" s="22"/>
      <c r="GBW166" s="22"/>
      <c r="GBX166" s="22"/>
      <c r="GBY166" s="22"/>
      <c r="GBZ166" s="22"/>
      <c r="GCA166" s="22"/>
      <c r="GCB166" s="22"/>
      <c r="GCC166" s="22"/>
      <c r="GCD166" s="22"/>
      <c r="GCE166" s="22"/>
      <c r="GCF166" s="22"/>
      <c r="GCG166" s="22"/>
      <c r="GCH166" s="22"/>
      <c r="GCI166" s="22"/>
      <c r="GCJ166" s="22"/>
      <c r="GCK166" s="22"/>
      <c r="GCL166" s="22"/>
      <c r="GCM166" s="22"/>
      <c r="GCN166" s="22"/>
      <c r="GCO166" s="22"/>
      <c r="GCP166" s="22"/>
      <c r="GCQ166" s="22"/>
      <c r="GCR166" s="22"/>
      <c r="GCS166" s="22"/>
      <c r="GCT166" s="22"/>
      <c r="GCU166" s="22"/>
      <c r="GCV166" s="22"/>
      <c r="GCW166" s="22"/>
      <c r="GCX166" s="22"/>
      <c r="GCY166" s="22"/>
      <c r="GCZ166" s="22"/>
      <c r="GDA166" s="22"/>
      <c r="GDB166" s="22"/>
      <c r="GDC166" s="22"/>
      <c r="GDD166" s="22"/>
      <c r="GDE166" s="22"/>
      <c r="GDF166" s="22"/>
      <c r="GDG166" s="22"/>
      <c r="GDH166" s="22"/>
      <c r="GDI166" s="22"/>
      <c r="GDJ166" s="22"/>
      <c r="GDK166" s="22"/>
      <c r="GDL166" s="22"/>
      <c r="GDM166" s="22"/>
      <c r="GDN166" s="22"/>
      <c r="GDO166" s="22"/>
      <c r="GDP166" s="22"/>
      <c r="GDQ166" s="22"/>
      <c r="GDR166" s="22"/>
      <c r="GDS166" s="22"/>
      <c r="GDT166" s="22"/>
      <c r="GDU166" s="22"/>
      <c r="GDV166" s="22"/>
      <c r="GDW166" s="22"/>
      <c r="GDX166" s="22"/>
      <c r="GDY166" s="22"/>
      <c r="GDZ166" s="22"/>
      <c r="GEA166" s="22"/>
      <c r="GEB166" s="22"/>
      <c r="GEC166" s="22"/>
      <c r="GED166" s="22"/>
      <c r="GEE166" s="22"/>
      <c r="GEF166" s="22"/>
      <c r="GEG166" s="22"/>
      <c r="GEH166" s="22"/>
      <c r="GEI166" s="22"/>
      <c r="GEJ166" s="22"/>
      <c r="GEK166" s="22"/>
      <c r="GEL166" s="22"/>
      <c r="GEM166" s="22"/>
      <c r="GEN166" s="22"/>
      <c r="GEO166" s="22"/>
      <c r="GEP166" s="22"/>
      <c r="GEQ166" s="22"/>
      <c r="GER166" s="22"/>
      <c r="GES166" s="22"/>
      <c r="GET166" s="22"/>
      <c r="GEU166" s="22"/>
      <c r="GEV166" s="22"/>
      <c r="GEW166" s="22"/>
      <c r="GEX166" s="22"/>
      <c r="GEY166" s="22"/>
      <c r="GEZ166" s="22"/>
      <c r="GFA166" s="22"/>
      <c r="GFB166" s="22"/>
      <c r="GFC166" s="22"/>
      <c r="GFD166" s="22"/>
      <c r="GFE166" s="22"/>
      <c r="GFF166" s="22"/>
      <c r="GFG166" s="22"/>
      <c r="GFH166" s="22"/>
      <c r="GFI166" s="22"/>
      <c r="GFJ166" s="22"/>
      <c r="GFK166" s="22"/>
      <c r="GFL166" s="22"/>
      <c r="GFM166" s="22"/>
      <c r="GFN166" s="22"/>
      <c r="GFO166" s="22"/>
      <c r="GFP166" s="22"/>
      <c r="GFQ166" s="22"/>
      <c r="GFR166" s="22"/>
      <c r="GFS166" s="22"/>
      <c r="GFT166" s="22"/>
      <c r="GFU166" s="22"/>
      <c r="GFV166" s="22"/>
      <c r="GFW166" s="22"/>
      <c r="GFX166" s="22"/>
      <c r="GFY166" s="22"/>
      <c r="GFZ166" s="22"/>
      <c r="GGA166" s="22"/>
      <c r="GGB166" s="22"/>
      <c r="GGC166" s="22"/>
      <c r="GGD166" s="22"/>
      <c r="GGE166" s="22"/>
      <c r="GGF166" s="22"/>
      <c r="GGG166" s="22"/>
      <c r="GGH166" s="22"/>
      <c r="GGI166" s="22"/>
      <c r="GGJ166" s="22"/>
      <c r="GGK166" s="22"/>
      <c r="GGL166" s="22"/>
      <c r="GGM166" s="22"/>
      <c r="GGN166" s="22"/>
      <c r="GGO166" s="22"/>
      <c r="GGP166" s="22"/>
      <c r="GGQ166" s="22"/>
      <c r="GGR166" s="22"/>
      <c r="GGS166" s="22"/>
      <c r="GGT166" s="22"/>
      <c r="GGU166" s="22"/>
      <c r="GGV166" s="22"/>
      <c r="GGW166" s="22"/>
      <c r="GGX166" s="22"/>
      <c r="GGY166" s="22"/>
      <c r="GGZ166" s="22"/>
      <c r="GHA166" s="22"/>
      <c r="GHB166" s="22"/>
      <c r="GHC166" s="22"/>
      <c r="GHD166" s="22"/>
      <c r="GHE166" s="22"/>
      <c r="GHF166" s="22"/>
      <c r="GHG166" s="22"/>
      <c r="GHH166" s="22"/>
      <c r="GHI166" s="22"/>
      <c r="GHJ166" s="22"/>
      <c r="GHK166" s="22"/>
      <c r="GHL166" s="22"/>
      <c r="GHM166" s="22"/>
      <c r="GHN166" s="22"/>
      <c r="GHO166" s="22"/>
      <c r="GHP166" s="22"/>
      <c r="GHQ166" s="22"/>
      <c r="GHR166" s="22"/>
      <c r="GHS166" s="22"/>
      <c r="GHT166" s="22"/>
      <c r="GHU166" s="22"/>
      <c r="GHV166" s="22"/>
      <c r="GHW166" s="22"/>
      <c r="GHX166" s="22"/>
      <c r="GHY166" s="22"/>
      <c r="GHZ166" s="22"/>
      <c r="GIA166" s="22"/>
      <c r="GIB166" s="22"/>
      <c r="GIC166" s="22"/>
      <c r="GID166" s="22"/>
      <c r="GIE166" s="22"/>
      <c r="GIF166" s="22"/>
      <c r="GIG166" s="22"/>
      <c r="GIH166" s="22"/>
      <c r="GII166" s="22"/>
      <c r="GIJ166" s="22"/>
      <c r="GIK166" s="22"/>
      <c r="GIL166" s="22"/>
      <c r="GIM166" s="22"/>
      <c r="GIN166" s="22"/>
      <c r="GIO166" s="22"/>
      <c r="GIP166" s="22"/>
      <c r="GIQ166" s="22"/>
      <c r="GIR166" s="22"/>
      <c r="GIS166" s="22"/>
      <c r="GIT166" s="22"/>
      <c r="GIU166" s="22"/>
      <c r="GIV166" s="22"/>
      <c r="GIW166" s="22"/>
      <c r="GIX166" s="22"/>
      <c r="GIY166" s="22"/>
      <c r="GIZ166" s="22"/>
      <c r="GJA166" s="22"/>
      <c r="GJB166" s="22"/>
      <c r="GJC166" s="22"/>
      <c r="GJD166" s="22"/>
      <c r="GJE166" s="22"/>
      <c r="GJF166" s="22"/>
      <c r="GJG166" s="22"/>
      <c r="GJH166" s="22"/>
      <c r="GJI166" s="22"/>
      <c r="GJJ166" s="22"/>
      <c r="GJK166" s="22"/>
      <c r="GJL166" s="22"/>
      <c r="GJM166" s="22"/>
      <c r="GJN166" s="22"/>
      <c r="GJO166" s="22"/>
      <c r="GJP166" s="22"/>
      <c r="GJQ166" s="22"/>
      <c r="GJR166" s="22"/>
      <c r="GJS166" s="22"/>
      <c r="GJT166" s="22"/>
      <c r="GJU166" s="22"/>
      <c r="GJV166" s="22"/>
      <c r="GJW166" s="22"/>
      <c r="GJX166" s="22"/>
      <c r="GJY166" s="22"/>
      <c r="GJZ166" s="22"/>
      <c r="GKA166" s="22"/>
      <c r="GKB166" s="22"/>
      <c r="GKC166" s="22"/>
      <c r="GKD166" s="22"/>
      <c r="GKE166" s="22"/>
      <c r="GKF166" s="22"/>
      <c r="GKG166" s="22"/>
      <c r="GKH166" s="22"/>
      <c r="GKI166" s="22"/>
      <c r="GKJ166" s="22"/>
      <c r="GKK166" s="22"/>
      <c r="GKL166" s="22"/>
      <c r="GKM166" s="22"/>
      <c r="GKN166" s="22"/>
      <c r="GKO166" s="22"/>
      <c r="GKP166" s="22"/>
      <c r="GKQ166" s="22"/>
      <c r="GKR166" s="22"/>
      <c r="GKS166" s="22"/>
      <c r="GKT166" s="22"/>
      <c r="GKU166" s="22"/>
      <c r="GKV166" s="22"/>
      <c r="GKW166" s="22"/>
      <c r="GKX166" s="22"/>
      <c r="GKY166" s="22"/>
      <c r="GKZ166" s="22"/>
      <c r="GLA166" s="22"/>
      <c r="GLB166" s="22"/>
      <c r="GLC166" s="22"/>
      <c r="GLD166" s="22"/>
      <c r="GLE166" s="22"/>
      <c r="GLF166" s="22"/>
      <c r="GLG166" s="22"/>
      <c r="GLH166" s="22"/>
      <c r="GLI166" s="22"/>
      <c r="GLJ166" s="22"/>
      <c r="GLK166" s="22"/>
      <c r="GLL166" s="22"/>
      <c r="GLM166" s="22"/>
      <c r="GLN166" s="22"/>
      <c r="GLO166" s="22"/>
      <c r="GLP166" s="22"/>
      <c r="GLQ166" s="22"/>
      <c r="GLR166" s="22"/>
      <c r="GLS166" s="22"/>
      <c r="GLT166" s="22"/>
      <c r="GLU166" s="22"/>
      <c r="GLV166" s="22"/>
      <c r="GLW166" s="22"/>
      <c r="GLX166" s="22"/>
      <c r="GLY166" s="22"/>
      <c r="GLZ166" s="22"/>
      <c r="GMA166" s="22"/>
      <c r="GMB166" s="22"/>
      <c r="GMC166" s="22"/>
      <c r="GMD166" s="22"/>
      <c r="GME166" s="22"/>
      <c r="GMF166" s="22"/>
      <c r="GMG166" s="22"/>
      <c r="GMH166" s="22"/>
      <c r="GMI166" s="22"/>
      <c r="GMJ166" s="22"/>
      <c r="GMK166" s="22"/>
      <c r="GML166" s="22"/>
      <c r="GMM166" s="22"/>
      <c r="GMN166" s="22"/>
      <c r="GMO166" s="22"/>
      <c r="GMP166" s="22"/>
      <c r="GMQ166" s="22"/>
      <c r="GMR166" s="22"/>
      <c r="GMS166" s="22"/>
      <c r="GMT166" s="22"/>
      <c r="GMU166" s="22"/>
      <c r="GMV166" s="22"/>
      <c r="GMW166" s="22"/>
      <c r="GMX166" s="22"/>
      <c r="GMY166" s="22"/>
      <c r="GMZ166" s="22"/>
      <c r="GNA166" s="22"/>
      <c r="GNB166" s="22"/>
      <c r="GNC166" s="22"/>
      <c r="GND166" s="22"/>
      <c r="GNE166" s="22"/>
      <c r="GNF166" s="22"/>
      <c r="GNG166" s="22"/>
      <c r="GNH166" s="22"/>
      <c r="GNI166" s="22"/>
      <c r="GNJ166" s="22"/>
      <c r="GNK166" s="22"/>
      <c r="GNL166" s="22"/>
      <c r="GNM166" s="22"/>
      <c r="GNN166" s="22"/>
      <c r="GNO166" s="22"/>
      <c r="GNP166" s="22"/>
      <c r="GNQ166" s="22"/>
      <c r="GNR166" s="22"/>
      <c r="GNS166" s="22"/>
      <c r="GNT166" s="22"/>
      <c r="GNU166" s="22"/>
      <c r="GNV166" s="22"/>
      <c r="GNW166" s="22"/>
      <c r="GNX166" s="22"/>
      <c r="GNY166" s="22"/>
      <c r="GNZ166" s="22"/>
      <c r="GOA166" s="22"/>
      <c r="GOB166" s="22"/>
      <c r="GOC166" s="22"/>
      <c r="GOD166" s="22"/>
      <c r="GOE166" s="22"/>
      <c r="GOF166" s="22"/>
      <c r="GOG166" s="22"/>
      <c r="GOH166" s="22"/>
      <c r="GOI166" s="22"/>
      <c r="GOJ166" s="22"/>
      <c r="GOK166" s="22"/>
      <c r="GOL166" s="22"/>
      <c r="GOM166" s="22"/>
      <c r="GON166" s="22"/>
      <c r="GOO166" s="22"/>
      <c r="GOP166" s="22"/>
      <c r="GOQ166" s="22"/>
      <c r="GOR166" s="22"/>
      <c r="GOS166" s="22"/>
      <c r="GOT166" s="22"/>
      <c r="GOU166" s="22"/>
      <c r="GOV166" s="22"/>
      <c r="GOW166" s="22"/>
      <c r="GOX166" s="22"/>
      <c r="GOY166" s="22"/>
      <c r="GOZ166" s="22"/>
      <c r="GPA166" s="22"/>
      <c r="GPB166" s="22"/>
      <c r="GPC166" s="22"/>
      <c r="GPD166" s="22"/>
      <c r="GPE166" s="22"/>
      <c r="GPF166" s="22"/>
      <c r="GPG166" s="22"/>
      <c r="GPH166" s="22"/>
      <c r="GPI166" s="22"/>
      <c r="GPJ166" s="22"/>
      <c r="GPK166" s="22"/>
      <c r="GPL166" s="22"/>
      <c r="GPM166" s="22"/>
      <c r="GPN166" s="22"/>
      <c r="GPO166" s="22"/>
      <c r="GPP166" s="22"/>
      <c r="GPQ166" s="22"/>
      <c r="GPR166" s="22"/>
      <c r="GPS166" s="22"/>
      <c r="GPT166" s="22"/>
      <c r="GPU166" s="22"/>
      <c r="GPV166" s="22"/>
      <c r="GPW166" s="22"/>
      <c r="GPX166" s="22"/>
      <c r="GPY166" s="22"/>
      <c r="GPZ166" s="22"/>
      <c r="GQA166" s="22"/>
      <c r="GQB166" s="22"/>
      <c r="GQC166" s="22"/>
      <c r="GQD166" s="22"/>
      <c r="GQE166" s="22"/>
      <c r="GQF166" s="22"/>
      <c r="GQG166" s="22"/>
      <c r="GQH166" s="22"/>
      <c r="GQI166" s="22"/>
      <c r="GQJ166" s="22"/>
      <c r="GQK166" s="22"/>
      <c r="GQL166" s="22"/>
      <c r="GQM166" s="22"/>
      <c r="GQN166" s="22"/>
      <c r="GQO166" s="22"/>
      <c r="GQP166" s="22"/>
      <c r="GQQ166" s="22"/>
      <c r="GQR166" s="22"/>
      <c r="GQS166" s="22"/>
      <c r="GQT166" s="22"/>
      <c r="GQU166" s="22"/>
      <c r="GQV166" s="22"/>
      <c r="GQW166" s="22"/>
      <c r="GQX166" s="22"/>
      <c r="GQY166" s="22"/>
      <c r="GQZ166" s="22"/>
      <c r="GRA166" s="22"/>
      <c r="GRB166" s="22"/>
      <c r="GRC166" s="22"/>
      <c r="GRD166" s="22"/>
      <c r="GRE166" s="22"/>
      <c r="GRF166" s="22"/>
      <c r="GRG166" s="22"/>
      <c r="GRH166" s="22"/>
      <c r="GRI166" s="22"/>
      <c r="GRJ166" s="22"/>
      <c r="GRK166" s="22"/>
      <c r="GRL166" s="22"/>
      <c r="GRM166" s="22"/>
      <c r="GRN166" s="22"/>
      <c r="GRO166" s="22"/>
      <c r="GRP166" s="22"/>
      <c r="GRQ166" s="22"/>
      <c r="GRR166" s="22"/>
      <c r="GRS166" s="22"/>
      <c r="GRT166" s="22"/>
      <c r="GRU166" s="22"/>
      <c r="GRV166" s="22"/>
      <c r="GRW166" s="22"/>
      <c r="GRX166" s="22"/>
      <c r="GRY166" s="22"/>
      <c r="GRZ166" s="22"/>
      <c r="GSA166" s="22"/>
      <c r="GSB166" s="22"/>
      <c r="GSC166" s="22"/>
      <c r="GSD166" s="22"/>
      <c r="GSE166" s="22"/>
      <c r="GSF166" s="22"/>
      <c r="GSG166" s="22"/>
      <c r="GSH166" s="22"/>
      <c r="GSI166" s="22"/>
      <c r="GSJ166" s="22"/>
      <c r="GSK166" s="22"/>
      <c r="GSL166" s="22"/>
      <c r="GSM166" s="22"/>
      <c r="GSN166" s="22"/>
      <c r="GSO166" s="22"/>
      <c r="GSP166" s="22"/>
      <c r="GSQ166" s="22"/>
      <c r="GSR166" s="22"/>
      <c r="GSS166" s="22"/>
      <c r="GST166" s="22"/>
      <c r="GSU166" s="22"/>
      <c r="GSV166" s="22"/>
      <c r="GSW166" s="22"/>
      <c r="GSX166" s="22"/>
      <c r="GSY166" s="22"/>
      <c r="GSZ166" s="22"/>
      <c r="GTA166" s="22"/>
      <c r="GTB166" s="22"/>
      <c r="GTC166" s="22"/>
      <c r="GTD166" s="22"/>
      <c r="GTE166" s="22"/>
      <c r="GTF166" s="22"/>
      <c r="GTG166" s="22"/>
      <c r="GTH166" s="22"/>
      <c r="GTI166" s="22"/>
      <c r="GTJ166" s="22"/>
      <c r="GTK166" s="22"/>
      <c r="GTL166" s="22"/>
      <c r="GTM166" s="22"/>
      <c r="GTN166" s="22"/>
      <c r="GTO166" s="22"/>
      <c r="GTP166" s="22"/>
      <c r="GTQ166" s="22"/>
      <c r="GTR166" s="22"/>
      <c r="GTS166" s="22"/>
      <c r="GTT166" s="22"/>
      <c r="GTU166" s="22"/>
      <c r="GTV166" s="22"/>
      <c r="GTW166" s="22"/>
      <c r="GTX166" s="22"/>
      <c r="GTY166" s="22"/>
      <c r="GTZ166" s="22"/>
      <c r="GUA166" s="22"/>
      <c r="GUB166" s="22"/>
      <c r="GUC166" s="22"/>
      <c r="GUD166" s="22"/>
      <c r="GUE166" s="22"/>
      <c r="GUF166" s="22"/>
      <c r="GUG166" s="22"/>
      <c r="GUH166" s="22"/>
      <c r="GUI166" s="22"/>
      <c r="GUJ166" s="22"/>
      <c r="GUK166" s="22"/>
      <c r="GUL166" s="22"/>
      <c r="GUM166" s="22"/>
      <c r="GUN166" s="22"/>
      <c r="GUO166" s="22"/>
      <c r="GUP166" s="22"/>
      <c r="GUQ166" s="22"/>
      <c r="GUR166" s="22"/>
      <c r="GUS166" s="22"/>
      <c r="GUT166" s="22"/>
      <c r="GUU166" s="22"/>
      <c r="GUV166" s="22"/>
      <c r="GUW166" s="22"/>
      <c r="GUX166" s="22"/>
      <c r="GUY166" s="22"/>
      <c r="GUZ166" s="22"/>
      <c r="GVA166" s="22"/>
      <c r="GVB166" s="22"/>
      <c r="GVC166" s="22"/>
      <c r="GVD166" s="22"/>
      <c r="GVE166" s="22"/>
      <c r="GVF166" s="22"/>
      <c r="GVG166" s="22"/>
      <c r="GVH166" s="22"/>
      <c r="GVI166" s="22"/>
      <c r="GVJ166" s="22"/>
      <c r="GVK166" s="22"/>
      <c r="GVL166" s="22"/>
      <c r="GVM166" s="22"/>
      <c r="GVN166" s="22"/>
      <c r="GVO166" s="22"/>
      <c r="GVP166" s="22"/>
      <c r="GVQ166" s="22"/>
      <c r="GVR166" s="22"/>
      <c r="GVS166" s="22"/>
      <c r="GVT166" s="22"/>
      <c r="GVU166" s="22"/>
      <c r="GVV166" s="22"/>
      <c r="GVW166" s="22"/>
      <c r="GVX166" s="22"/>
      <c r="GVY166" s="22"/>
      <c r="GVZ166" s="22"/>
      <c r="GWA166" s="22"/>
      <c r="GWB166" s="22"/>
      <c r="GWC166" s="22"/>
      <c r="GWD166" s="22"/>
      <c r="GWE166" s="22"/>
      <c r="GWF166" s="22"/>
      <c r="GWG166" s="22"/>
      <c r="GWH166" s="22"/>
      <c r="GWI166" s="22"/>
      <c r="GWJ166" s="22"/>
      <c r="GWK166" s="22"/>
      <c r="GWL166" s="22"/>
      <c r="GWM166" s="22"/>
      <c r="GWN166" s="22"/>
      <c r="GWO166" s="22"/>
      <c r="GWP166" s="22"/>
      <c r="GWQ166" s="22"/>
      <c r="GWR166" s="22"/>
      <c r="GWS166" s="22"/>
      <c r="GWT166" s="22"/>
      <c r="GWU166" s="22"/>
      <c r="GWV166" s="22"/>
      <c r="GWW166" s="22"/>
      <c r="GWX166" s="22"/>
      <c r="GWY166" s="22"/>
      <c r="GWZ166" s="22"/>
      <c r="GXA166" s="22"/>
      <c r="GXB166" s="22"/>
      <c r="GXC166" s="22"/>
      <c r="GXD166" s="22"/>
      <c r="GXE166" s="22"/>
      <c r="GXF166" s="22"/>
      <c r="GXG166" s="22"/>
      <c r="GXH166" s="22"/>
      <c r="GXI166" s="22"/>
      <c r="GXJ166" s="22"/>
      <c r="GXK166" s="22"/>
      <c r="GXL166" s="22"/>
      <c r="GXM166" s="22"/>
      <c r="GXN166" s="22"/>
      <c r="GXO166" s="22"/>
      <c r="GXP166" s="22"/>
      <c r="GXQ166" s="22"/>
      <c r="GXR166" s="22"/>
      <c r="GXS166" s="22"/>
      <c r="GXT166" s="22"/>
      <c r="GXU166" s="22"/>
      <c r="GXV166" s="22"/>
      <c r="GXW166" s="22"/>
      <c r="GXX166" s="22"/>
      <c r="GXY166" s="22"/>
      <c r="GXZ166" s="22"/>
      <c r="GYA166" s="22"/>
      <c r="GYB166" s="22"/>
      <c r="GYC166" s="22"/>
      <c r="GYD166" s="22"/>
      <c r="GYE166" s="22"/>
      <c r="GYF166" s="22"/>
      <c r="GYG166" s="22"/>
      <c r="GYH166" s="22"/>
      <c r="GYI166" s="22"/>
      <c r="GYJ166" s="22"/>
      <c r="GYK166" s="22"/>
      <c r="GYL166" s="22"/>
      <c r="GYM166" s="22"/>
      <c r="GYN166" s="22"/>
      <c r="GYO166" s="22"/>
      <c r="GYP166" s="22"/>
      <c r="GYQ166" s="22"/>
      <c r="GYR166" s="22"/>
      <c r="GYS166" s="22"/>
      <c r="GYT166" s="22"/>
      <c r="GYU166" s="22"/>
      <c r="GYV166" s="22"/>
      <c r="GYW166" s="22"/>
      <c r="GYX166" s="22"/>
      <c r="GYY166" s="22"/>
      <c r="GYZ166" s="22"/>
      <c r="GZA166" s="22"/>
      <c r="GZB166" s="22"/>
      <c r="GZC166" s="22"/>
      <c r="GZD166" s="22"/>
      <c r="GZE166" s="22"/>
      <c r="GZF166" s="22"/>
      <c r="GZG166" s="22"/>
      <c r="GZH166" s="22"/>
      <c r="GZI166" s="22"/>
      <c r="GZJ166" s="22"/>
      <c r="GZK166" s="22"/>
      <c r="GZL166" s="22"/>
      <c r="GZM166" s="22"/>
      <c r="GZN166" s="22"/>
      <c r="GZO166" s="22"/>
      <c r="GZP166" s="22"/>
      <c r="GZQ166" s="22"/>
      <c r="GZR166" s="22"/>
      <c r="GZS166" s="22"/>
      <c r="GZT166" s="22"/>
      <c r="GZU166" s="22"/>
      <c r="GZV166" s="22"/>
      <c r="GZW166" s="22"/>
      <c r="GZX166" s="22"/>
      <c r="GZY166" s="22"/>
      <c r="GZZ166" s="22"/>
      <c r="HAA166" s="22"/>
      <c r="HAB166" s="22"/>
      <c r="HAC166" s="22"/>
      <c r="HAD166" s="22"/>
      <c r="HAE166" s="22"/>
      <c r="HAF166" s="22"/>
      <c r="HAG166" s="22"/>
      <c r="HAH166" s="22"/>
      <c r="HAI166" s="22"/>
      <c r="HAJ166" s="22"/>
      <c r="HAK166" s="22"/>
      <c r="HAL166" s="22"/>
      <c r="HAM166" s="22"/>
      <c r="HAN166" s="22"/>
      <c r="HAO166" s="22"/>
      <c r="HAP166" s="22"/>
      <c r="HAQ166" s="22"/>
      <c r="HAR166" s="22"/>
      <c r="HAS166" s="22"/>
      <c r="HAT166" s="22"/>
      <c r="HAU166" s="22"/>
      <c r="HAV166" s="22"/>
      <c r="HAW166" s="22"/>
      <c r="HAX166" s="22"/>
      <c r="HAY166" s="22"/>
      <c r="HAZ166" s="22"/>
      <c r="HBA166" s="22"/>
      <c r="HBB166" s="22"/>
      <c r="HBC166" s="22"/>
      <c r="HBD166" s="22"/>
      <c r="HBE166" s="22"/>
      <c r="HBF166" s="22"/>
      <c r="HBG166" s="22"/>
      <c r="HBH166" s="22"/>
      <c r="HBI166" s="22"/>
      <c r="HBJ166" s="22"/>
      <c r="HBK166" s="22"/>
      <c r="HBL166" s="22"/>
      <c r="HBM166" s="22"/>
      <c r="HBN166" s="22"/>
      <c r="HBO166" s="22"/>
      <c r="HBP166" s="22"/>
      <c r="HBQ166" s="22"/>
      <c r="HBR166" s="22"/>
      <c r="HBS166" s="22"/>
      <c r="HBT166" s="22"/>
      <c r="HBU166" s="22"/>
      <c r="HBV166" s="22"/>
      <c r="HBW166" s="22"/>
      <c r="HBX166" s="22"/>
      <c r="HBY166" s="22"/>
      <c r="HBZ166" s="22"/>
      <c r="HCA166" s="22"/>
      <c r="HCB166" s="22"/>
      <c r="HCC166" s="22"/>
      <c r="HCD166" s="22"/>
      <c r="HCE166" s="22"/>
      <c r="HCF166" s="22"/>
      <c r="HCG166" s="22"/>
      <c r="HCH166" s="22"/>
      <c r="HCI166" s="22"/>
      <c r="HCJ166" s="22"/>
      <c r="HCK166" s="22"/>
      <c r="HCL166" s="22"/>
      <c r="HCM166" s="22"/>
      <c r="HCN166" s="22"/>
      <c r="HCO166" s="22"/>
      <c r="HCP166" s="22"/>
      <c r="HCQ166" s="22"/>
      <c r="HCR166" s="22"/>
      <c r="HCS166" s="22"/>
      <c r="HCT166" s="22"/>
      <c r="HCU166" s="22"/>
      <c r="HCV166" s="22"/>
      <c r="HCW166" s="22"/>
      <c r="HCX166" s="22"/>
      <c r="HCY166" s="22"/>
      <c r="HCZ166" s="22"/>
      <c r="HDA166" s="22"/>
      <c r="HDB166" s="22"/>
      <c r="HDC166" s="22"/>
      <c r="HDD166" s="22"/>
      <c r="HDE166" s="22"/>
      <c r="HDF166" s="22"/>
      <c r="HDG166" s="22"/>
      <c r="HDH166" s="22"/>
      <c r="HDI166" s="22"/>
      <c r="HDJ166" s="22"/>
      <c r="HDK166" s="22"/>
      <c r="HDL166" s="22"/>
      <c r="HDM166" s="22"/>
      <c r="HDN166" s="22"/>
      <c r="HDO166" s="22"/>
      <c r="HDP166" s="22"/>
      <c r="HDQ166" s="22"/>
      <c r="HDR166" s="22"/>
      <c r="HDS166" s="22"/>
      <c r="HDT166" s="22"/>
      <c r="HDU166" s="22"/>
      <c r="HDV166" s="22"/>
      <c r="HDW166" s="22"/>
      <c r="HDX166" s="22"/>
      <c r="HDY166" s="22"/>
      <c r="HDZ166" s="22"/>
      <c r="HEA166" s="22"/>
      <c r="HEB166" s="22"/>
      <c r="HEC166" s="22"/>
      <c r="HED166" s="22"/>
      <c r="HEE166" s="22"/>
      <c r="HEF166" s="22"/>
      <c r="HEG166" s="22"/>
      <c r="HEH166" s="22"/>
      <c r="HEI166" s="22"/>
      <c r="HEJ166" s="22"/>
      <c r="HEK166" s="22"/>
      <c r="HEL166" s="22"/>
      <c r="HEM166" s="22"/>
      <c r="HEN166" s="22"/>
      <c r="HEO166" s="22"/>
      <c r="HEP166" s="22"/>
      <c r="HEQ166" s="22"/>
      <c r="HER166" s="22"/>
      <c r="HES166" s="22"/>
      <c r="HET166" s="22"/>
      <c r="HEU166" s="22"/>
      <c r="HEV166" s="22"/>
      <c r="HEW166" s="22"/>
      <c r="HEX166" s="22"/>
      <c r="HEY166" s="22"/>
      <c r="HEZ166" s="22"/>
      <c r="HFA166" s="22"/>
      <c r="HFB166" s="22"/>
      <c r="HFC166" s="22"/>
      <c r="HFD166" s="22"/>
      <c r="HFE166" s="22"/>
      <c r="HFF166" s="22"/>
      <c r="HFG166" s="22"/>
      <c r="HFH166" s="22"/>
      <c r="HFI166" s="22"/>
      <c r="HFJ166" s="22"/>
      <c r="HFK166" s="22"/>
      <c r="HFL166" s="22"/>
      <c r="HFM166" s="22"/>
      <c r="HFN166" s="22"/>
      <c r="HFO166" s="22"/>
      <c r="HFP166" s="22"/>
      <c r="HFQ166" s="22"/>
      <c r="HFR166" s="22"/>
      <c r="HFS166" s="22"/>
      <c r="HFT166" s="22"/>
      <c r="HFU166" s="22"/>
      <c r="HFV166" s="22"/>
      <c r="HFW166" s="22"/>
      <c r="HFX166" s="22"/>
      <c r="HFY166" s="22"/>
      <c r="HFZ166" s="22"/>
      <c r="HGA166" s="22"/>
      <c r="HGB166" s="22"/>
      <c r="HGC166" s="22"/>
      <c r="HGD166" s="22"/>
      <c r="HGE166" s="22"/>
      <c r="HGF166" s="22"/>
      <c r="HGG166" s="22"/>
      <c r="HGH166" s="22"/>
      <c r="HGI166" s="22"/>
      <c r="HGJ166" s="22"/>
      <c r="HGK166" s="22"/>
      <c r="HGL166" s="22"/>
      <c r="HGM166" s="22"/>
      <c r="HGN166" s="22"/>
      <c r="HGO166" s="22"/>
      <c r="HGP166" s="22"/>
      <c r="HGQ166" s="22"/>
      <c r="HGR166" s="22"/>
      <c r="HGS166" s="22"/>
      <c r="HGT166" s="22"/>
      <c r="HGU166" s="22"/>
      <c r="HGV166" s="22"/>
      <c r="HGW166" s="22"/>
      <c r="HGX166" s="22"/>
      <c r="HGY166" s="22"/>
      <c r="HGZ166" s="22"/>
      <c r="HHA166" s="22"/>
      <c r="HHB166" s="22"/>
      <c r="HHC166" s="22"/>
      <c r="HHD166" s="22"/>
      <c r="HHE166" s="22"/>
      <c r="HHF166" s="22"/>
      <c r="HHG166" s="22"/>
      <c r="HHH166" s="22"/>
      <c r="HHI166" s="22"/>
      <c r="HHJ166" s="22"/>
      <c r="HHK166" s="22"/>
      <c r="HHL166" s="22"/>
      <c r="HHM166" s="22"/>
      <c r="HHN166" s="22"/>
      <c r="HHO166" s="22"/>
      <c r="HHP166" s="22"/>
      <c r="HHQ166" s="22"/>
      <c r="HHR166" s="22"/>
      <c r="HHS166" s="22"/>
      <c r="HHT166" s="22"/>
      <c r="HHU166" s="22"/>
      <c r="HHV166" s="22"/>
      <c r="HHW166" s="22"/>
      <c r="HHX166" s="22"/>
      <c r="HHY166" s="22"/>
      <c r="HHZ166" s="22"/>
      <c r="HIA166" s="22"/>
      <c r="HIB166" s="22"/>
      <c r="HIC166" s="22"/>
      <c r="HID166" s="22"/>
      <c r="HIE166" s="22"/>
      <c r="HIF166" s="22"/>
      <c r="HIG166" s="22"/>
      <c r="HIH166" s="22"/>
      <c r="HII166" s="22"/>
      <c r="HIJ166" s="22"/>
      <c r="HIK166" s="22"/>
      <c r="HIL166" s="22"/>
      <c r="HIM166" s="22"/>
      <c r="HIN166" s="22"/>
      <c r="HIO166" s="22"/>
      <c r="HIP166" s="22"/>
      <c r="HIQ166" s="22"/>
      <c r="HIR166" s="22"/>
      <c r="HIS166" s="22"/>
      <c r="HIT166" s="22"/>
      <c r="HIU166" s="22"/>
      <c r="HIV166" s="22"/>
      <c r="HIW166" s="22"/>
      <c r="HIX166" s="22"/>
      <c r="HIY166" s="22"/>
      <c r="HIZ166" s="22"/>
      <c r="HJA166" s="22"/>
      <c r="HJB166" s="22"/>
      <c r="HJC166" s="22"/>
      <c r="HJD166" s="22"/>
      <c r="HJE166" s="22"/>
      <c r="HJF166" s="22"/>
      <c r="HJG166" s="22"/>
      <c r="HJH166" s="22"/>
      <c r="HJI166" s="22"/>
      <c r="HJJ166" s="22"/>
      <c r="HJK166" s="22"/>
      <c r="HJL166" s="22"/>
      <c r="HJM166" s="22"/>
      <c r="HJN166" s="22"/>
      <c r="HJO166" s="22"/>
      <c r="HJP166" s="22"/>
      <c r="HJQ166" s="22"/>
      <c r="HJR166" s="22"/>
      <c r="HJS166" s="22"/>
      <c r="HJT166" s="22"/>
      <c r="HJU166" s="22"/>
      <c r="HJV166" s="22"/>
      <c r="HJW166" s="22"/>
      <c r="HJX166" s="22"/>
      <c r="HJY166" s="22"/>
      <c r="HJZ166" s="22"/>
      <c r="HKA166" s="22"/>
      <c r="HKB166" s="22"/>
      <c r="HKC166" s="22"/>
      <c r="HKD166" s="22"/>
      <c r="HKE166" s="22"/>
      <c r="HKF166" s="22"/>
      <c r="HKG166" s="22"/>
      <c r="HKH166" s="22"/>
      <c r="HKI166" s="22"/>
      <c r="HKJ166" s="22"/>
      <c r="HKK166" s="22"/>
      <c r="HKL166" s="22"/>
      <c r="HKM166" s="22"/>
      <c r="HKN166" s="22"/>
      <c r="HKO166" s="22"/>
      <c r="HKP166" s="22"/>
      <c r="HKQ166" s="22"/>
      <c r="HKR166" s="22"/>
      <c r="HKS166" s="22"/>
      <c r="HKT166" s="22"/>
      <c r="HKU166" s="22"/>
      <c r="HKV166" s="22"/>
      <c r="HKW166" s="22"/>
      <c r="HKX166" s="22"/>
      <c r="HKY166" s="22"/>
      <c r="HKZ166" s="22"/>
      <c r="HLA166" s="22"/>
      <c r="HLB166" s="22"/>
      <c r="HLC166" s="22"/>
      <c r="HLD166" s="22"/>
      <c r="HLE166" s="22"/>
      <c r="HLF166" s="22"/>
      <c r="HLG166" s="22"/>
      <c r="HLH166" s="22"/>
      <c r="HLI166" s="22"/>
      <c r="HLJ166" s="22"/>
      <c r="HLK166" s="22"/>
      <c r="HLL166" s="22"/>
      <c r="HLM166" s="22"/>
      <c r="HLN166" s="22"/>
      <c r="HLO166" s="22"/>
      <c r="HLP166" s="22"/>
      <c r="HLQ166" s="22"/>
      <c r="HLR166" s="22"/>
      <c r="HLS166" s="22"/>
      <c r="HLT166" s="22"/>
      <c r="HLU166" s="22"/>
      <c r="HLV166" s="22"/>
      <c r="HLW166" s="22"/>
      <c r="HLX166" s="22"/>
      <c r="HLY166" s="22"/>
      <c r="HLZ166" s="22"/>
      <c r="HMA166" s="22"/>
      <c r="HMB166" s="22"/>
      <c r="HMC166" s="22"/>
      <c r="HMD166" s="22"/>
      <c r="HME166" s="22"/>
      <c r="HMF166" s="22"/>
      <c r="HMG166" s="22"/>
      <c r="HMH166" s="22"/>
      <c r="HMI166" s="22"/>
      <c r="HMJ166" s="22"/>
      <c r="HMK166" s="22"/>
      <c r="HML166" s="22"/>
      <c r="HMM166" s="22"/>
      <c r="HMN166" s="22"/>
      <c r="HMO166" s="22"/>
      <c r="HMP166" s="22"/>
      <c r="HMQ166" s="22"/>
      <c r="HMR166" s="22"/>
      <c r="HMS166" s="22"/>
      <c r="HMT166" s="22"/>
      <c r="HMU166" s="22"/>
      <c r="HMV166" s="22"/>
      <c r="HMW166" s="22"/>
      <c r="HMX166" s="22"/>
      <c r="HMY166" s="22"/>
      <c r="HMZ166" s="22"/>
      <c r="HNA166" s="22"/>
      <c r="HNB166" s="22"/>
      <c r="HNC166" s="22"/>
      <c r="HND166" s="22"/>
      <c r="HNE166" s="22"/>
      <c r="HNF166" s="22"/>
      <c r="HNG166" s="22"/>
      <c r="HNH166" s="22"/>
      <c r="HNI166" s="22"/>
      <c r="HNJ166" s="22"/>
      <c r="HNK166" s="22"/>
      <c r="HNL166" s="22"/>
      <c r="HNM166" s="22"/>
      <c r="HNN166" s="22"/>
      <c r="HNO166" s="22"/>
      <c r="HNP166" s="22"/>
      <c r="HNQ166" s="22"/>
      <c r="HNR166" s="22"/>
      <c r="HNS166" s="22"/>
      <c r="HNT166" s="22"/>
      <c r="HNU166" s="22"/>
      <c r="HNV166" s="22"/>
      <c r="HNW166" s="22"/>
      <c r="HNX166" s="22"/>
      <c r="HNY166" s="22"/>
      <c r="HNZ166" s="22"/>
      <c r="HOA166" s="22"/>
      <c r="HOB166" s="22"/>
      <c r="HOC166" s="22"/>
      <c r="HOD166" s="22"/>
      <c r="HOE166" s="22"/>
      <c r="HOF166" s="22"/>
      <c r="HOG166" s="22"/>
      <c r="HOH166" s="22"/>
      <c r="HOI166" s="22"/>
      <c r="HOJ166" s="22"/>
      <c r="HOK166" s="22"/>
      <c r="HOL166" s="22"/>
      <c r="HOM166" s="22"/>
      <c r="HON166" s="22"/>
      <c r="HOO166" s="22"/>
      <c r="HOP166" s="22"/>
      <c r="HOQ166" s="22"/>
      <c r="HOR166" s="22"/>
      <c r="HOS166" s="22"/>
      <c r="HOT166" s="22"/>
      <c r="HOU166" s="22"/>
      <c r="HOV166" s="22"/>
      <c r="HOW166" s="22"/>
      <c r="HOX166" s="22"/>
      <c r="HOY166" s="22"/>
      <c r="HOZ166" s="22"/>
      <c r="HPA166" s="22"/>
      <c r="HPB166" s="22"/>
      <c r="HPC166" s="22"/>
      <c r="HPD166" s="22"/>
      <c r="HPE166" s="22"/>
      <c r="HPF166" s="22"/>
      <c r="HPG166" s="22"/>
      <c r="HPH166" s="22"/>
      <c r="HPI166" s="22"/>
      <c r="HPJ166" s="22"/>
      <c r="HPK166" s="22"/>
      <c r="HPL166" s="22"/>
      <c r="HPM166" s="22"/>
      <c r="HPN166" s="22"/>
      <c r="HPO166" s="22"/>
      <c r="HPP166" s="22"/>
      <c r="HPQ166" s="22"/>
      <c r="HPR166" s="22"/>
      <c r="HPS166" s="22"/>
      <c r="HPT166" s="22"/>
      <c r="HPU166" s="22"/>
      <c r="HPV166" s="22"/>
      <c r="HPW166" s="22"/>
      <c r="HPX166" s="22"/>
      <c r="HPY166" s="22"/>
      <c r="HPZ166" s="22"/>
      <c r="HQA166" s="22"/>
      <c r="HQB166" s="22"/>
      <c r="HQC166" s="22"/>
      <c r="HQD166" s="22"/>
      <c r="HQE166" s="22"/>
      <c r="HQF166" s="22"/>
      <c r="HQG166" s="22"/>
      <c r="HQH166" s="22"/>
      <c r="HQI166" s="22"/>
      <c r="HQJ166" s="22"/>
      <c r="HQK166" s="22"/>
      <c r="HQL166" s="22"/>
      <c r="HQM166" s="22"/>
      <c r="HQN166" s="22"/>
      <c r="HQO166" s="22"/>
      <c r="HQP166" s="22"/>
      <c r="HQQ166" s="22"/>
      <c r="HQR166" s="22"/>
      <c r="HQS166" s="22"/>
      <c r="HQT166" s="22"/>
      <c r="HQU166" s="22"/>
      <c r="HQV166" s="22"/>
      <c r="HQW166" s="22"/>
      <c r="HQX166" s="22"/>
      <c r="HQY166" s="22"/>
      <c r="HQZ166" s="22"/>
      <c r="HRA166" s="22"/>
      <c r="HRB166" s="22"/>
      <c r="HRC166" s="22"/>
      <c r="HRD166" s="22"/>
      <c r="HRE166" s="22"/>
      <c r="HRF166" s="22"/>
      <c r="HRG166" s="22"/>
      <c r="HRH166" s="22"/>
      <c r="HRI166" s="22"/>
      <c r="HRJ166" s="22"/>
      <c r="HRK166" s="22"/>
      <c r="HRL166" s="22"/>
      <c r="HRM166" s="22"/>
      <c r="HRN166" s="22"/>
      <c r="HRO166" s="22"/>
      <c r="HRP166" s="22"/>
      <c r="HRQ166" s="22"/>
      <c r="HRR166" s="22"/>
      <c r="HRS166" s="22"/>
      <c r="HRT166" s="22"/>
      <c r="HRU166" s="22"/>
      <c r="HRV166" s="22"/>
      <c r="HRW166" s="22"/>
      <c r="HRX166" s="22"/>
      <c r="HRY166" s="22"/>
      <c r="HRZ166" s="22"/>
      <c r="HSA166" s="22"/>
      <c r="HSB166" s="22"/>
      <c r="HSC166" s="22"/>
      <c r="HSD166" s="22"/>
      <c r="HSE166" s="22"/>
      <c r="HSF166" s="22"/>
      <c r="HSG166" s="22"/>
      <c r="HSH166" s="22"/>
      <c r="HSI166" s="22"/>
      <c r="HSJ166" s="22"/>
      <c r="HSK166" s="22"/>
      <c r="HSL166" s="22"/>
      <c r="HSM166" s="22"/>
      <c r="HSN166" s="22"/>
      <c r="HSO166" s="22"/>
      <c r="HSP166" s="22"/>
      <c r="HSQ166" s="22"/>
      <c r="HSR166" s="22"/>
      <c r="HSS166" s="22"/>
      <c r="HST166" s="22"/>
      <c r="HSU166" s="22"/>
      <c r="HSV166" s="22"/>
      <c r="HSW166" s="22"/>
      <c r="HSX166" s="22"/>
      <c r="HSY166" s="22"/>
      <c r="HSZ166" s="22"/>
      <c r="HTA166" s="22"/>
      <c r="HTB166" s="22"/>
      <c r="HTC166" s="22"/>
      <c r="HTD166" s="22"/>
      <c r="HTE166" s="22"/>
      <c r="HTF166" s="22"/>
      <c r="HTG166" s="22"/>
      <c r="HTH166" s="22"/>
      <c r="HTI166" s="22"/>
      <c r="HTJ166" s="22"/>
      <c r="HTK166" s="22"/>
      <c r="HTL166" s="22"/>
      <c r="HTM166" s="22"/>
      <c r="HTN166" s="22"/>
      <c r="HTO166" s="22"/>
      <c r="HTP166" s="22"/>
      <c r="HTQ166" s="22"/>
      <c r="HTR166" s="22"/>
      <c r="HTS166" s="22"/>
      <c r="HTT166" s="22"/>
      <c r="HTU166" s="22"/>
      <c r="HTV166" s="22"/>
      <c r="HTW166" s="22"/>
      <c r="HTX166" s="22"/>
      <c r="HTY166" s="22"/>
      <c r="HTZ166" s="22"/>
      <c r="HUA166" s="22"/>
      <c r="HUB166" s="22"/>
      <c r="HUC166" s="22"/>
      <c r="HUD166" s="22"/>
      <c r="HUE166" s="22"/>
      <c r="HUF166" s="22"/>
      <c r="HUG166" s="22"/>
      <c r="HUH166" s="22"/>
      <c r="HUI166" s="22"/>
      <c r="HUJ166" s="22"/>
      <c r="HUK166" s="22"/>
      <c r="HUL166" s="22"/>
      <c r="HUM166" s="22"/>
      <c r="HUN166" s="22"/>
      <c r="HUO166" s="22"/>
      <c r="HUP166" s="22"/>
      <c r="HUQ166" s="22"/>
      <c r="HUR166" s="22"/>
      <c r="HUS166" s="22"/>
      <c r="HUT166" s="22"/>
      <c r="HUU166" s="22"/>
      <c r="HUV166" s="22"/>
      <c r="HUW166" s="22"/>
      <c r="HUX166" s="22"/>
      <c r="HUY166" s="22"/>
      <c r="HUZ166" s="22"/>
      <c r="HVA166" s="22"/>
      <c r="HVB166" s="22"/>
      <c r="HVC166" s="22"/>
      <c r="HVD166" s="22"/>
      <c r="HVE166" s="22"/>
      <c r="HVF166" s="22"/>
      <c r="HVG166" s="22"/>
      <c r="HVH166" s="22"/>
      <c r="HVI166" s="22"/>
      <c r="HVJ166" s="22"/>
      <c r="HVK166" s="22"/>
      <c r="HVL166" s="22"/>
      <c r="HVM166" s="22"/>
      <c r="HVN166" s="22"/>
      <c r="HVO166" s="22"/>
      <c r="HVP166" s="22"/>
      <c r="HVQ166" s="22"/>
      <c r="HVR166" s="22"/>
      <c r="HVS166" s="22"/>
      <c r="HVT166" s="22"/>
      <c r="HVU166" s="22"/>
      <c r="HVV166" s="22"/>
      <c r="HVW166" s="22"/>
      <c r="HVX166" s="22"/>
      <c r="HVY166" s="22"/>
      <c r="HVZ166" s="22"/>
      <c r="HWA166" s="22"/>
      <c r="HWB166" s="22"/>
      <c r="HWC166" s="22"/>
      <c r="HWD166" s="22"/>
      <c r="HWE166" s="22"/>
      <c r="HWF166" s="22"/>
      <c r="HWG166" s="22"/>
      <c r="HWH166" s="22"/>
      <c r="HWI166" s="22"/>
      <c r="HWJ166" s="22"/>
      <c r="HWK166" s="22"/>
      <c r="HWL166" s="22"/>
      <c r="HWM166" s="22"/>
      <c r="HWN166" s="22"/>
      <c r="HWO166" s="22"/>
      <c r="HWP166" s="22"/>
      <c r="HWQ166" s="22"/>
      <c r="HWR166" s="22"/>
      <c r="HWS166" s="22"/>
      <c r="HWT166" s="22"/>
      <c r="HWU166" s="22"/>
      <c r="HWV166" s="22"/>
      <c r="HWW166" s="22"/>
      <c r="HWX166" s="22"/>
      <c r="HWY166" s="22"/>
      <c r="HWZ166" s="22"/>
      <c r="HXA166" s="22"/>
      <c r="HXB166" s="22"/>
      <c r="HXC166" s="22"/>
      <c r="HXD166" s="22"/>
      <c r="HXE166" s="22"/>
      <c r="HXF166" s="22"/>
      <c r="HXG166" s="22"/>
      <c r="HXH166" s="22"/>
      <c r="HXI166" s="22"/>
      <c r="HXJ166" s="22"/>
      <c r="HXK166" s="22"/>
      <c r="HXL166" s="22"/>
      <c r="HXM166" s="22"/>
      <c r="HXN166" s="22"/>
      <c r="HXO166" s="22"/>
      <c r="HXP166" s="22"/>
      <c r="HXQ166" s="22"/>
      <c r="HXR166" s="22"/>
      <c r="HXS166" s="22"/>
      <c r="HXT166" s="22"/>
      <c r="HXU166" s="22"/>
      <c r="HXV166" s="22"/>
      <c r="HXW166" s="22"/>
      <c r="HXX166" s="22"/>
      <c r="HXY166" s="22"/>
      <c r="HXZ166" s="22"/>
      <c r="HYA166" s="22"/>
      <c r="HYB166" s="22"/>
      <c r="HYC166" s="22"/>
      <c r="HYD166" s="22"/>
      <c r="HYE166" s="22"/>
      <c r="HYF166" s="22"/>
      <c r="HYG166" s="22"/>
      <c r="HYH166" s="22"/>
      <c r="HYI166" s="22"/>
      <c r="HYJ166" s="22"/>
      <c r="HYK166" s="22"/>
      <c r="HYL166" s="22"/>
      <c r="HYM166" s="22"/>
      <c r="HYN166" s="22"/>
      <c r="HYO166" s="22"/>
      <c r="HYP166" s="22"/>
      <c r="HYQ166" s="22"/>
      <c r="HYR166" s="22"/>
      <c r="HYS166" s="22"/>
      <c r="HYT166" s="22"/>
      <c r="HYU166" s="22"/>
      <c r="HYV166" s="22"/>
      <c r="HYW166" s="22"/>
      <c r="HYX166" s="22"/>
      <c r="HYY166" s="22"/>
      <c r="HYZ166" s="22"/>
      <c r="HZA166" s="22"/>
      <c r="HZB166" s="22"/>
      <c r="HZC166" s="22"/>
      <c r="HZD166" s="22"/>
      <c r="HZE166" s="22"/>
      <c r="HZF166" s="22"/>
      <c r="HZG166" s="22"/>
      <c r="HZH166" s="22"/>
      <c r="HZI166" s="22"/>
      <c r="HZJ166" s="22"/>
      <c r="HZK166" s="22"/>
      <c r="HZL166" s="22"/>
      <c r="HZM166" s="22"/>
      <c r="HZN166" s="22"/>
      <c r="HZO166" s="22"/>
      <c r="HZP166" s="22"/>
      <c r="HZQ166" s="22"/>
      <c r="HZR166" s="22"/>
      <c r="HZS166" s="22"/>
      <c r="HZT166" s="22"/>
      <c r="HZU166" s="22"/>
      <c r="HZV166" s="22"/>
      <c r="HZW166" s="22"/>
      <c r="HZX166" s="22"/>
      <c r="HZY166" s="22"/>
      <c r="HZZ166" s="22"/>
      <c r="IAA166" s="22"/>
      <c r="IAB166" s="22"/>
      <c r="IAC166" s="22"/>
      <c r="IAD166" s="22"/>
      <c r="IAE166" s="22"/>
      <c r="IAF166" s="22"/>
      <c r="IAG166" s="22"/>
      <c r="IAH166" s="22"/>
      <c r="IAI166" s="22"/>
      <c r="IAJ166" s="22"/>
      <c r="IAK166" s="22"/>
      <c r="IAL166" s="22"/>
      <c r="IAM166" s="22"/>
      <c r="IAN166" s="22"/>
      <c r="IAO166" s="22"/>
      <c r="IAP166" s="22"/>
      <c r="IAQ166" s="22"/>
      <c r="IAR166" s="22"/>
      <c r="IAS166" s="22"/>
      <c r="IAT166" s="22"/>
      <c r="IAU166" s="22"/>
      <c r="IAV166" s="22"/>
      <c r="IAW166" s="22"/>
      <c r="IAX166" s="22"/>
      <c r="IAY166" s="22"/>
      <c r="IAZ166" s="22"/>
      <c r="IBA166" s="22"/>
      <c r="IBB166" s="22"/>
      <c r="IBC166" s="22"/>
      <c r="IBD166" s="22"/>
      <c r="IBE166" s="22"/>
      <c r="IBF166" s="22"/>
      <c r="IBG166" s="22"/>
      <c r="IBH166" s="22"/>
      <c r="IBI166" s="22"/>
      <c r="IBJ166" s="22"/>
      <c r="IBK166" s="22"/>
      <c r="IBL166" s="22"/>
      <c r="IBM166" s="22"/>
      <c r="IBN166" s="22"/>
      <c r="IBO166" s="22"/>
      <c r="IBP166" s="22"/>
      <c r="IBQ166" s="22"/>
      <c r="IBR166" s="22"/>
      <c r="IBS166" s="22"/>
      <c r="IBT166" s="22"/>
      <c r="IBU166" s="22"/>
      <c r="IBV166" s="22"/>
      <c r="IBW166" s="22"/>
      <c r="IBX166" s="22"/>
      <c r="IBY166" s="22"/>
      <c r="IBZ166" s="22"/>
      <c r="ICA166" s="22"/>
      <c r="ICB166" s="22"/>
      <c r="ICC166" s="22"/>
      <c r="ICD166" s="22"/>
      <c r="ICE166" s="22"/>
      <c r="ICF166" s="22"/>
      <c r="ICG166" s="22"/>
      <c r="ICH166" s="22"/>
      <c r="ICI166" s="22"/>
      <c r="ICJ166" s="22"/>
      <c r="ICK166" s="22"/>
      <c r="ICL166" s="22"/>
      <c r="ICM166" s="22"/>
      <c r="ICN166" s="22"/>
      <c r="ICO166" s="22"/>
      <c r="ICP166" s="22"/>
      <c r="ICQ166" s="22"/>
      <c r="ICR166" s="22"/>
      <c r="ICS166" s="22"/>
      <c r="ICT166" s="22"/>
      <c r="ICU166" s="22"/>
      <c r="ICV166" s="22"/>
      <c r="ICW166" s="22"/>
      <c r="ICX166" s="22"/>
      <c r="ICY166" s="22"/>
      <c r="ICZ166" s="22"/>
      <c r="IDA166" s="22"/>
      <c r="IDB166" s="22"/>
      <c r="IDC166" s="22"/>
      <c r="IDD166" s="22"/>
      <c r="IDE166" s="22"/>
      <c r="IDF166" s="22"/>
      <c r="IDG166" s="22"/>
      <c r="IDH166" s="22"/>
      <c r="IDI166" s="22"/>
      <c r="IDJ166" s="22"/>
      <c r="IDK166" s="22"/>
      <c r="IDL166" s="22"/>
      <c r="IDM166" s="22"/>
      <c r="IDN166" s="22"/>
      <c r="IDO166" s="22"/>
      <c r="IDP166" s="22"/>
      <c r="IDQ166" s="22"/>
      <c r="IDR166" s="22"/>
      <c r="IDS166" s="22"/>
      <c r="IDT166" s="22"/>
      <c r="IDU166" s="22"/>
      <c r="IDV166" s="22"/>
      <c r="IDW166" s="22"/>
      <c r="IDX166" s="22"/>
      <c r="IDY166" s="22"/>
      <c r="IDZ166" s="22"/>
      <c r="IEA166" s="22"/>
      <c r="IEB166" s="22"/>
      <c r="IEC166" s="22"/>
      <c r="IED166" s="22"/>
      <c r="IEE166" s="22"/>
      <c r="IEF166" s="22"/>
      <c r="IEG166" s="22"/>
      <c r="IEH166" s="22"/>
      <c r="IEI166" s="22"/>
      <c r="IEJ166" s="22"/>
      <c r="IEK166" s="22"/>
      <c r="IEL166" s="22"/>
      <c r="IEM166" s="22"/>
      <c r="IEN166" s="22"/>
      <c r="IEO166" s="22"/>
      <c r="IEP166" s="22"/>
      <c r="IEQ166" s="22"/>
      <c r="IER166" s="22"/>
      <c r="IES166" s="22"/>
      <c r="IET166" s="22"/>
      <c r="IEU166" s="22"/>
      <c r="IEV166" s="22"/>
      <c r="IEW166" s="22"/>
      <c r="IEX166" s="22"/>
      <c r="IEY166" s="22"/>
      <c r="IEZ166" s="22"/>
      <c r="IFA166" s="22"/>
      <c r="IFB166" s="22"/>
      <c r="IFC166" s="22"/>
      <c r="IFD166" s="22"/>
      <c r="IFE166" s="22"/>
      <c r="IFF166" s="22"/>
      <c r="IFG166" s="22"/>
      <c r="IFH166" s="22"/>
      <c r="IFI166" s="22"/>
      <c r="IFJ166" s="22"/>
      <c r="IFK166" s="22"/>
      <c r="IFL166" s="22"/>
      <c r="IFM166" s="22"/>
      <c r="IFN166" s="22"/>
      <c r="IFO166" s="22"/>
      <c r="IFP166" s="22"/>
      <c r="IFQ166" s="22"/>
      <c r="IFR166" s="22"/>
      <c r="IFS166" s="22"/>
      <c r="IFT166" s="22"/>
      <c r="IFU166" s="22"/>
      <c r="IFV166" s="22"/>
      <c r="IFW166" s="22"/>
      <c r="IFX166" s="22"/>
      <c r="IFY166" s="22"/>
      <c r="IFZ166" s="22"/>
      <c r="IGA166" s="22"/>
      <c r="IGB166" s="22"/>
      <c r="IGC166" s="22"/>
      <c r="IGD166" s="22"/>
      <c r="IGE166" s="22"/>
      <c r="IGF166" s="22"/>
      <c r="IGG166" s="22"/>
      <c r="IGH166" s="22"/>
      <c r="IGI166" s="22"/>
      <c r="IGJ166" s="22"/>
      <c r="IGK166" s="22"/>
      <c r="IGL166" s="22"/>
      <c r="IGM166" s="22"/>
      <c r="IGN166" s="22"/>
      <c r="IGO166" s="22"/>
      <c r="IGP166" s="22"/>
      <c r="IGQ166" s="22"/>
      <c r="IGR166" s="22"/>
      <c r="IGS166" s="22"/>
      <c r="IGT166" s="22"/>
      <c r="IGU166" s="22"/>
      <c r="IGV166" s="22"/>
      <c r="IGW166" s="22"/>
      <c r="IGX166" s="22"/>
      <c r="IGY166" s="22"/>
      <c r="IGZ166" s="22"/>
      <c r="IHA166" s="22"/>
      <c r="IHB166" s="22"/>
      <c r="IHC166" s="22"/>
      <c r="IHD166" s="22"/>
      <c r="IHE166" s="22"/>
      <c r="IHF166" s="22"/>
      <c r="IHG166" s="22"/>
      <c r="IHH166" s="22"/>
      <c r="IHI166" s="22"/>
      <c r="IHJ166" s="22"/>
      <c r="IHK166" s="22"/>
      <c r="IHL166" s="22"/>
      <c r="IHM166" s="22"/>
      <c r="IHN166" s="22"/>
      <c r="IHO166" s="22"/>
      <c r="IHP166" s="22"/>
      <c r="IHQ166" s="22"/>
      <c r="IHR166" s="22"/>
      <c r="IHS166" s="22"/>
      <c r="IHT166" s="22"/>
      <c r="IHU166" s="22"/>
      <c r="IHV166" s="22"/>
      <c r="IHW166" s="22"/>
      <c r="IHX166" s="22"/>
      <c r="IHY166" s="22"/>
      <c r="IHZ166" s="22"/>
      <c r="IIA166" s="22"/>
      <c r="IIB166" s="22"/>
      <c r="IIC166" s="22"/>
      <c r="IID166" s="22"/>
      <c r="IIE166" s="22"/>
      <c r="IIF166" s="22"/>
      <c r="IIG166" s="22"/>
      <c r="IIH166" s="22"/>
      <c r="III166" s="22"/>
      <c r="IIJ166" s="22"/>
      <c r="IIK166" s="22"/>
      <c r="IIL166" s="22"/>
      <c r="IIM166" s="22"/>
      <c r="IIN166" s="22"/>
      <c r="IIO166" s="22"/>
      <c r="IIP166" s="22"/>
      <c r="IIQ166" s="22"/>
      <c r="IIR166" s="22"/>
      <c r="IIS166" s="22"/>
      <c r="IIT166" s="22"/>
      <c r="IIU166" s="22"/>
      <c r="IIV166" s="22"/>
      <c r="IIW166" s="22"/>
      <c r="IIX166" s="22"/>
      <c r="IIY166" s="22"/>
      <c r="IIZ166" s="22"/>
      <c r="IJA166" s="22"/>
      <c r="IJB166" s="22"/>
      <c r="IJC166" s="22"/>
      <c r="IJD166" s="22"/>
      <c r="IJE166" s="22"/>
      <c r="IJF166" s="22"/>
      <c r="IJG166" s="22"/>
      <c r="IJH166" s="22"/>
      <c r="IJI166" s="22"/>
      <c r="IJJ166" s="22"/>
      <c r="IJK166" s="22"/>
      <c r="IJL166" s="22"/>
      <c r="IJM166" s="22"/>
      <c r="IJN166" s="22"/>
      <c r="IJO166" s="22"/>
      <c r="IJP166" s="22"/>
      <c r="IJQ166" s="22"/>
      <c r="IJR166" s="22"/>
      <c r="IJS166" s="22"/>
      <c r="IJT166" s="22"/>
      <c r="IJU166" s="22"/>
      <c r="IJV166" s="22"/>
      <c r="IJW166" s="22"/>
      <c r="IJX166" s="22"/>
      <c r="IJY166" s="22"/>
      <c r="IJZ166" s="22"/>
      <c r="IKA166" s="22"/>
      <c r="IKB166" s="22"/>
      <c r="IKC166" s="22"/>
      <c r="IKD166" s="22"/>
      <c r="IKE166" s="22"/>
      <c r="IKF166" s="22"/>
      <c r="IKG166" s="22"/>
      <c r="IKH166" s="22"/>
      <c r="IKI166" s="22"/>
      <c r="IKJ166" s="22"/>
      <c r="IKK166" s="22"/>
      <c r="IKL166" s="22"/>
      <c r="IKM166" s="22"/>
      <c r="IKN166" s="22"/>
      <c r="IKO166" s="22"/>
      <c r="IKP166" s="22"/>
      <c r="IKQ166" s="22"/>
      <c r="IKR166" s="22"/>
      <c r="IKS166" s="22"/>
      <c r="IKT166" s="22"/>
      <c r="IKU166" s="22"/>
      <c r="IKV166" s="22"/>
      <c r="IKW166" s="22"/>
      <c r="IKX166" s="22"/>
      <c r="IKY166" s="22"/>
      <c r="IKZ166" s="22"/>
      <c r="ILA166" s="22"/>
      <c r="ILB166" s="22"/>
      <c r="ILC166" s="22"/>
      <c r="ILD166" s="22"/>
      <c r="ILE166" s="22"/>
      <c r="ILF166" s="22"/>
      <c r="ILG166" s="22"/>
      <c r="ILH166" s="22"/>
      <c r="ILI166" s="22"/>
      <c r="ILJ166" s="22"/>
      <c r="ILK166" s="22"/>
      <c r="ILL166" s="22"/>
      <c r="ILM166" s="22"/>
      <c r="ILN166" s="22"/>
      <c r="ILO166" s="22"/>
      <c r="ILP166" s="22"/>
      <c r="ILQ166" s="22"/>
      <c r="ILR166" s="22"/>
      <c r="ILS166" s="22"/>
      <c r="ILT166" s="22"/>
      <c r="ILU166" s="22"/>
      <c r="ILV166" s="22"/>
      <c r="ILW166" s="22"/>
      <c r="ILX166" s="22"/>
      <c r="ILY166" s="22"/>
      <c r="ILZ166" s="22"/>
      <c r="IMA166" s="22"/>
      <c r="IMB166" s="22"/>
      <c r="IMC166" s="22"/>
      <c r="IMD166" s="22"/>
      <c r="IME166" s="22"/>
      <c r="IMF166" s="22"/>
      <c r="IMG166" s="22"/>
      <c r="IMH166" s="22"/>
      <c r="IMI166" s="22"/>
      <c r="IMJ166" s="22"/>
      <c r="IMK166" s="22"/>
      <c r="IML166" s="22"/>
      <c r="IMM166" s="22"/>
      <c r="IMN166" s="22"/>
      <c r="IMO166" s="22"/>
      <c r="IMP166" s="22"/>
      <c r="IMQ166" s="22"/>
      <c r="IMR166" s="22"/>
      <c r="IMS166" s="22"/>
      <c r="IMT166" s="22"/>
      <c r="IMU166" s="22"/>
      <c r="IMV166" s="22"/>
      <c r="IMW166" s="22"/>
      <c r="IMX166" s="22"/>
      <c r="IMY166" s="22"/>
      <c r="IMZ166" s="22"/>
      <c r="INA166" s="22"/>
      <c r="INB166" s="22"/>
      <c r="INC166" s="22"/>
      <c r="IND166" s="22"/>
      <c r="INE166" s="22"/>
      <c r="INF166" s="22"/>
      <c r="ING166" s="22"/>
      <c r="INH166" s="22"/>
      <c r="INI166" s="22"/>
      <c r="INJ166" s="22"/>
      <c r="INK166" s="22"/>
      <c r="INL166" s="22"/>
      <c r="INM166" s="22"/>
      <c r="INN166" s="22"/>
      <c r="INO166" s="22"/>
      <c r="INP166" s="22"/>
      <c r="INQ166" s="22"/>
      <c r="INR166" s="22"/>
      <c r="INS166" s="22"/>
      <c r="INT166" s="22"/>
      <c r="INU166" s="22"/>
      <c r="INV166" s="22"/>
      <c r="INW166" s="22"/>
      <c r="INX166" s="22"/>
      <c r="INY166" s="22"/>
      <c r="INZ166" s="22"/>
      <c r="IOA166" s="22"/>
      <c r="IOB166" s="22"/>
      <c r="IOC166" s="22"/>
      <c r="IOD166" s="22"/>
      <c r="IOE166" s="22"/>
      <c r="IOF166" s="22"/>
      <c r="IOG166" s="22"/>
      <c r="IOH166" s="22"/>
      <c r="IOI166" s="22"/>
      <c r="IOJ166" s="22"/>
      <c r="IOK166" s="22"/>
      <c r="IOL166" s="22"/>
      <c r="IOM166" s="22"/>
      <c r="ION166" s="22"/>
      <c r="IOO166" s="22"/>
      <c r="IOP166" s="22"/>
      <c r="IOQ166" s="22"/>
      <c r="IOR166" s="22"/>
      <c r="IOS166" s="22"/>
      <c r="IOT166" s="22"/>
      <c r="IOU166" s="22"/>
      <c r="IOV166" s="22"/>
      <c r="IOW166" s="22"/>
      <c r="IOX166" s="22"/>
      <c r="IOY166" s="22"/>
      <c r="IOZ166" s="22"/>
      <c r="IPA166" s="22"/>
      <c r="IPB166" s="22"/>
      <c r="IPC166" s="22"/>
      <c r="IPD166" s="22"/>
      <c r="IPE166" s="22"/>
      <c r="IPF166" s="22"/>
      <c r="IPG166" s="22"/>
      <c r="IPH166" s="22"/>
      <c r="IPI166" s="22"/>
      <c r="IPJ166" s="22"/>
      <c r="IPK166" s="22"/>
      <c r="IPL166" s="22"/>
      <c r="IPM166" s="22"/>
      <c r="IPN166" s="22"/>
      <c r="IPO166" s="22"/>
      <c r="IPP166" s="22"/>
      <c r="IPQ166" s="22"/>
      <c r="IPR166" s="22"/>
      <c r="IPS166" s="22"/>
      <c r="IPT166" s="22"/>
      <c r="IPU166" s="22"/>
      <c r="IPV166" s="22"/>
      <c r="IPW166" s="22"/>
      <c r="IPX166" s="22"/>
      <c r="IPY166" s="22"/>
      <c r="IPZ166" s="22"/>
      <c r="IQA166" s="22"/>
      <c r="IQB166" s="22"/>
      <c r="IQC166" s="22"/>
      <c r="IQD166" s="22"/>
      <c r="IQE166" s="22"/>
      <c r="IQF166" s="22"/>
      <c r="IQG166" s="22"/>
      <c r="IQH166" s="22"/>
      <c r="IQI166" s="22"/>
      <c r="IQJ166" s="22"/>
      <c r="IQK166" s="22"/>
      <c r="IQL166" s="22"/>
      <c r="IQM166" s="22"/>
      <c r="IQN166" s="22"/>
      <c r="IQO166" s="22"/>
      <c r="IQP166" s="22"/>
      <c r="IQQ166" s="22"/>
      <c r="IQR166" s="22"/>
      <c r="IQS166" s="22"/>
      <c r="IQT166" s="22"/>
      <c r="IQU166" s="22"/>
      <c r="IQV166" s="22"/>
      <c r="IQW166" s="22"/>
      <c r="IQX166" s="22"/>
      <c r="IQY166" s="22"/>
      <c r="IQZ166" s="22"/>
      <c r="IRA166" s="22"/>
      <c r="IRB166" s="22"/>
      <c r="IRC166" s="22"/>
      <c r="IRD166" s="22"/>
      <c r="IRE166" s="22"/>
      <c r="IRF166" s="22"/>
      <c r="IRG166" s="22"/>
      <c r="IRH166" s="22"/>
      <c r="IRI166" s="22"/>
      <c r="IRJ166" s="22"/>
      <c r="IRK166" s="22"/>
      <c r="IRL166" s="22"/>
      <c r="IRM166" s="22"/>
      <c r="IRN166" s="22"/>
      <c r="IRO166" s="22"/>
      <c r="IRP166" s="22"/>
      <c r="IRQ166" s="22"/>
      <c r="IRR166" s="22"/>
      <c r="IRS166" s="22"/>
      <c r="IRT166" s="22"/>
      <c r="IRU166" s="22"/>
      <c r="IRV166" s="22"/>
      <c r="IRW166" s="22"/>
      <c r="IRX166" s="22"/>
      <c r="IRY166" s="22"/>
      <c r="IRZ166" s="22"/>
      <c r="ISA166" s="22"/>
      <c r="ISB166" s="22"/>
      <c r="ISC166" s="22"/>
      <c r="ISD166" s="22"/>
      <c r="ISE166" s="22"/>
      <c r="ISF166" s="22"/>
      <c r="ISG166" s="22"/>
      <c r="ISH166" s="22"/>
      <c r="ISI166" s="22"/>
      <c r="ISJ166" s="22"/>
      <c r="ISK166" s="22"/>
      <c r="ISL166" s="22"/>
      <c r="ISM166" s="22"/>
      <c r="ISN166" s="22"/>
      <c r="ISO166" s="22"/>
      <c r="ISP166" s="22"/>
      <c r="ISQ166" s="22"/>
      <c r="ISR166" s="22"/>
      <c r="ISS166" s="22"/>
      <c r="IST166" s="22"/>
      <c r="ISU166" s="22"/>
      <c r="ISV166" s="22"/>
      <c r="ISW166" s="22"/>
      <c r="ISX166" s="22"/>
      <c r="ISY166" s="22"/>
      <c r="ISZ166" s="22"/>
      <c r="ITA166" s="22"/>
      <c r="ITB166" s="22"/>
      <c r="ITC166" s="22"/>
      <c r="ITD166" s="22"/>
      <c r="ITE166" s="22"/>
      <c r="ITF166" s="22"/>
      <c r="ITG166" s="22"/>
      <c r="ITH166" s="22"/>
      <c r="ITI166" s="22"/>
      <c r="ITJ166" s="22"/>
      <c r="ITK166" s="22"/>
      <c r="ITL166" s="22"/>
      <c r="ITM166" s="22"/>
      <c r="ITN166" s="22"/>
      <c r="ITO166" s="22"/>
      <c r="ITP166" s="22"/>
      <c r="ITQ166" s="22"/>
      <c r="ITR166" s="22"/>
      <c r="ITS166" s="22"/>
      <c r="ITT166" s="22"/>
      <c r="ITU166" s="22"/>
      <c r="ITV166" s="22"/>
      <c r="ITW166" s="22"/>
      <c r="ITX166" s="22"/>
      <c r="ITY166" s="22"/>
      <c r="ITZ166" s="22"/>
      <c r="IUA166" s="22"/>
      <c r="IUB166" s="22"/>
      <c r="IUC166" s="22"/>
      <c r="IUD166" s="22"/>
      <c r="IUE166" s="22"/>
      <c r="IUF166" s="22"/>
      <c r="IUG166" s="22"/>
      <c r="IUH166" s="22"/>
      <c r="IUI166" s="22"/>
      <c r="IUJ166" s="22"/>
      <c r="IUK166" s="22"/>
      <c r="IUL166" s="22"/>
      <c r="IUM166" s="22"/>
      <c r="IUN166" s="22"/>
      <c r="IUO166" s="22"/>
      <c r="IUP166" s="22"/>
      <c r="IUQ166" s="22"/>
      <c r="IUR166" s="22"/>
      <c r="IUS166" s="22"/>
      <c r="IUT166" s="22"/>
      <c r="IUU166" s="22"/>
      <c r="IUV166" s="22"/>
      <c r="IUW166" s="22"/>
      <c r="IUX166" s="22"/>
      <c r="IUY166" s="22"/>
      <c r="IUZ166" s="22"/>
      <c r="IVA166" s="22"/>
      <c r="IVB166" s="22"/>
      <c r="IVC166" s="22"/>
      <c r="IVD166" s="22"/>
      <c r="IVE166" s="22"/>
      <c r="IVF166" s="22"/>
      <c r="IVG166" s="22"/>
      <c r="IVH166" s="22"/>
      <c r="IVI166" s="22"/>
      <c r="IVJ166" s="22"/>
      <c r="IVK166" s="22"/>
      <c r="IVL166" s="22"/>
      <c r="IVM166" s="22"/>
      <c r="IVN166" s="22"/>
      <c r="IVO166" s="22"/>
      <c r="IVP166" s="22"/>
      <c r="IVQ166" s="22"/>
      <c r="IVR166" s="22"/>
      <c r="IVS166" s="22"/>
      <c r="IVT166" s="22"/>
      <c r="IVU166" s="22"/>
      <c r="IVV166" s="22"/>
      <c r="IVW166" s="22"/>
      <c r="IVX166" s="22"/>
      <c r="IVY166" s="22"/>
      <c r="IVZ166" s="22"/>
      <c r="IWA166" s="22"/>
      <c r="IWB166" s="22"/>
      <c r="IWC166" s="22"/>
      <c r="IWD166" s="22"/>
      <c r="IWE166" s="22"/>
      <c r="IWF166" s="22"/>
      <c r="IWG166" s="22"/>
      <c r="IWH166" s="22"/>
      <c r="IWI166" s="22"/>
      <c r="IWJ166" s="22"/>
      <c r="IWK166" s="22"/>
      <c r="IWL166" s="22"/>
      <c r="IWM166" s="22"/>
      <c r="IWN166" s="22"/>
      <c r="IWO166" s="22"/>
      <c r="IWP166" s="22"/>
      <c r="IWQ166" s="22"/>
      <c r="IWR166" s="22"/>
      <c r="IWS166" s="22"/>
      <c r="IWT166" s="22"/>
      <c r="IWU166" s="22"/>
      <c r="IWV166" s="22"/>
      <c r="IWW166" s="22"/>
      <c r="IWX166" s="22"/>
      <c r="IWY166" s="22"/>
      <c r="IWZ166" s="22"/>
      <c r="IXA166" s="22"/>
      <c r="IXB166" s="22"/>
      <c r="IXC166" s="22"/>
      <c r="IXD166" s="22"/>
      <c r="IXE166" s="22"/>
      <c r="IXF166" s="22"/>
      <c r="IXG166" s="22"/>
      <c r="IXH166" s="22"/>
      <c r="IXI166" s="22"/>
      <c r="IXJ166" s="22"/>
      <c r="IXK166" s="22"/>
      <c r="IXL166" s="22"/>
      <c r="IXM166" s="22"/>
      <c r="IXN166" s="22"/>
      <c r="IXO166" s="22"/>
      <c r="IXP166" s="22"/>
      <c r="IXQ166" s="22"/>
      <c r="IXR166" s="22"/>
      <c r="IXS166" s="22"/>
      <c r="IXT166" s="22"/>
      <c r="IXU166" s="22"/>
      <c r="IXV166" s="22"/>
      <c r="IXW166" s="22"/>
      <c r="IXX166" s="22"/>
      <c r="IXY166" s="22"/>
      <c r="IXZ166" s="22"/>
      <c r="IYA166" s="22"/>
      <c r="IYB166" s="22"/>
      <c r="IYC166" s="22"/>
      <c r="IYD166" s="22"/>
      <c r="IYE166" s="22"/>
      <c r="IYF166" s="22"/>
      <c r="IYG166" s="22"/>
      <c r="IYH166" s="22"/>
      <c r="IYI166" s="22"/>
      <c r="IYJ166" s="22"/>
      <c r="IYK166" s="22"/>
      <c r="IYL166" s="22"/>
      <c r="IYM166" s="22"/>
      <c r="IYN166" s="22"/>
      <c r="IYO166" s="22"/>
      <c r="IYP166" s="22"/>
      <c r="IYQ166" s="22"/>
      <c r="IYR166" s="22"/>
      <c r="IYS166" s="22"/>
      <c r="IYT166" s="22"/>
      <c r="IYU166" s="22"/>
      <c r="IYV166" s="22"/>
      <c r="IYW166" s="22"/>
      <c r="IYX166" s="22"/>
      <c r="IYY166" s="22"/>
      <c r="IYZ166" s="22"/>
      <c r="IZA166" s="22"/>
      <c r="IZB166" s="22"/>
      <c r="IZC166" s="22"/>
      <c r="IZD166" s="22"/>
      <c r="IZE166" s="22"/>
      <c r="IZF166" s="22"/>
      <c r="IZG166" s="22"/>
      <c r="IZH166" s="22"/>
      <c r="IZI166" s="22"/>
      <c r="IZJ166" s="22"/>
      <c r="IZK166" s="22"/>
      <c r="IZL166" s="22"/>
      <c r="IZM166" s="22"/>
      <c r="IZN166" s="22"/>
      <c r="IZO166" s="22"/>
      <c r="IZP166" s="22"/>
      <c r="IZQ166" s="22"/>
      <c r="IZR166" s="22"/>
      <c r="IZS166" s="22"/>
      <c r="IZT166" s="22"/>
      <c r="IZU166" s="22"/>
      <c r="IZV166" s="22"/>
      <c r="IZW166" s="22"/>
      <c r="IZX166" s="22"/>
      <c r="IZY166" s="22"/>
      <c r="IZZ166" s="22"/>
      <c r="JAA166" s="22"/>
      <c r="JAB166" s="22"/>
      <c r="JAC166" s="22"/>
      <c r="JAD166" s="22"/>
      <c r="JAE166" s="22"/>
      <c r="JAF166" s="22"/>
      <c r="JAG166" s="22"/>
      <c r="JAH166" s="22"/>
      <c r="JAI166" s="22"/>
      <c r="JAJ166" s="22"/>
      <c r="JAK166" s="22"/>
      <c r="JAL166" s="22"/>
      <c r="JAM166" s="22"/>
      <c r="JAN166" s="22"/>
      <c r="JAO166" s="22"/>
      <c r="JAP166" s="22"/>
      <c r="JAQ166" s="22"/>
      <c r="JAR166" s="22"/>
      <c r="JAS166" s="22"/>
      <c r="JAT166" s="22"/>
      <c r="JAU166" s="22"/>
      <c r="JAV166" s="22"/>
      <c r="JAW166" s="22"/>
      <c r="JAX166" s="22"/>
      <c r="JAY166" s="22"/>
      <c r="JAZ166" s="22"/>
      <c r="JBA166" s="22"/>
      <c r="JBB166" s="22"/>
      <c r="JBC166" s="22"/>
      <c r="JBD166" s="22"/>
      <c r="JBE166" s="22"/>
      <c r="JBF166" s="22"/>
      <c r="JBG166" s="22"/>
      <c r="JBH166" s="22"/>
      <c r="JBI166" s="22"/>
      <c r="JBJ166" s="22"/>
      <c r="JBK166" s="22"/>
      <c r="JBL166" s="22"/>
      <c r="JBM166" s="22"/>
      <c r="JBN166" s="22"/>
      <c r="JBO166" s="22"/>
      <c r="JBP166" s="22"/>
      <c r="JBQ166" s="22"/>
      <c r="JBR166" s="22"/>
      <c r="JBS166" s="22"/>
      <c r="JBT166" s="22"/>
      <c r="JBU166" s="22"/>
      <c r="JBV166" s="22"/>
      <c r="JBW166" s="22"/>
      <c r="JBX166" s="22"/>
      <c r="JBY166" s="22"/>
      <c r="JBZ166" s="22"/>
      <c r="JCA166" s="22"/>
      <c r="JCB166" s="22"/>
      <c r="JCC166" s="22"/>
      <c r="JCD166" s="22"/>
      <c r="JCE166" s="22"/>
      <c r="JCF166" s="22"/>
      <c r="JCG166" s="22"/>
      <c r="JCH166" s="22"/>
      <c r="JCI166" s="22"/>
      <c r="JCJ166" s="22"/>
      <c r="JCK166" s="22"/>
      <c r="JCL166" s="22"/>
      <c r="JCM166" s="22"/>
      <c r="JCN166" s="22"/>
      <c r="JCO166" s="22"/>
      <c r="JCP166" s="22"/>
      <c r="JCQ166" s="22"/>
      <c r="JCR166" s="22"/>
      <c r="JCS166" s="22"/>
      <c r="JCT166" s="22"/>
      <c r="JCU166" s="22"/>
      <c r="JCV166" s="22"/>
      <c r="JCW166" s="22"/>
      <c r="JCX166" s="22"/>
      <c r="JCY166" s="22"/>
      <c r="JCZ166" s="22"/>
      <c r="JDA166" s="22"/>
      <c r="JDB166" s="22"/>
      <c r="JDC166" s="22"/>
      <c r="JDD166" s="22"/>
      <c r="JDE166" s="22"/>
      <c r="JDF166" s="22"/>
      <c r="JDG166" s="22"/>
      <c r="JDH166" s="22"/>
      <c r="JDI166" s="22"/>
      <c r="JDJ166" s="22"/>
      <c r="JDK166" s="22"/>
      <c r="JDL166" s="22"/>
      <c r="JDM166" s="22"/>
      <c r="JDN166" s="22"/>
      <c r="JDO166" s="22"/>
      <c r="JDP166" s="22"/>
      <c r="JDQ166" s="22"/>
      <c r="JDR166" s="22"/>
      <c r="JDS166" s="22"/>
      <c r="JDT166" s="22"/>
      <c r="JDU166" s="22"/>
      <c r="JDV166" s="22"/>
      <c r="JDW166" s="22"/>
      <c r="JDX166" s="22"/>
      <c r="JDY166" s="22"/>
      <c r="JDZ166" s="22"/>
      <c r="JEA166" s="22"/>
      <c r="JEB166" s="22"/>
      <c r="JEC166" s="22"/>
      <c r="JED166" s="22"/>
      <c r="JEE166" s="22"/>
      <c r="JEF166" s="22"/>
      <c r="JEG166" s="22"/>
      <c r="JEH166" s="22"/>
      <c r="JEI166" s="22"/>
      <c r="JEJ166" s="22"/>
      <c r="JEK166" s="22"/>
      <c r="JEL166" s="22"/>
      <c r="JEM166" s="22"/>
      <c r="JEN166" s="22"/>
      <c r="JEO166" s="22"/>
      <c r="JEP166" s="22"/>
      <c r="JEQ166" s="22"/>
      <c r="JER166" s="22"/>
      <c r="JES166" s="22"/>
      <c r="JET166" s="22"/>
      <c r="JEU166" s="22"/>
      <c r="JEV166" s="22"/>
      <c r="JEW166" s="22"/>
      <c r="JEX166" s="22"/>
      <c r="JEY166" s="22"/>
      <c r="JEZ166" s="22"/>
      <c r="JFA166" s="22"/>
      <c r="JFB166" s="22"/>
      <c r="JFC166" s="22"/>
      <c r="JFD166" s="22"/>
      <c r="JFE166" s="22"/>
      <c r="JFF166" s="22"/>
      <c r="JFG166" s="22"/>
      <c r="JFH166" s="22"/>
      <c r="JFI166" s="22"/>
      <c r="JFJ166" s="22"/>
      <c r="JFK166" s="22"/>
      <c r="JFL166" s="22"/>
      <c r="JFM166" s="22"/>
      <c r="JFN166" s="22"/>
      <c r="JFO166" s="22"/>
      <c r="JFP166" s="22"/>
      <c r="JFQ166" s="22"/>
      <c r="JFR166" s="22"/>
      <c r="JFS166" s="22"/>
      <c r="JFT166" s="22"/>
      <c r="JFU166" s="22"/>
      <c r="JFV166" s="22"/>
      <c r="JFW166" s="22"/>
      <c r="JFX166" s="22"/>
      <c r="JFY166" s="22"/>
      <c r="JFZ166" s="22"/>
      <c r="JGA166" s="22"/>
      <c r="JGB166" s="22"/>
      <c r="JGC166" s="22"/>
      <c r="JGD166" s="22"/>
      <c r="JGE166" s="22"/>
      <c r="JGF166" s="22"/>
      <c r="JGG166" s="22"/>
      <c r="JGH166" s="22"/>
      <c r="JGI166" s="22"/>
      <c r="JGJ166" s="22"/>
      <c r="JGK166" s="22"/>
      <c r="JGL166" s="22"/>
      <c r="JGM166" s="22"/>
      <c r="JGN166" s="22"/>
      <c r="JGO166" s="22"/>
      <c r="JGP166" s="22"/>
      <c r="JGQ166" s="22"/>
      <c r="JGR166" s="22"/>
      <c r="JGS166" s="22"/>
      <c r="JGT166" s="22"/>
      <c r="JGU166" s="22"/>
      <c r="JGV166" s="22"/>
      <c r="JGW166" s="22"/>
      <c r="JGX166" s="22"/>
      <c r="JGY166" s="22"/>
      <c r="JGZ166" s="22"/>
      <c r="JHA166" s="22"/>
      <c r="JHB166" s="22"/>
      <c r="JHC166" s="22"/>
      <c r="JHD166" s="22"/>
      <c r="JHE166" s="22"/>
      <c r="JHF166" s="22"/>
      <c r="JHG166" s="22"/>
      <c r="JHH166" s="22"/>
      <c r="JHI166" s="22"/>
      <c r="JHJ166" s="22"/>
      <c r="JHK166" s="22"/>
      <c r="JHL166" s="22"/>
      <c r="JHM166" s="22"/>
      <c r="JHN166" s="22"/>
      <c r="JHO166" s="22"/>
      <c r="JHP166" s="22"/>
      <c r="JHQ166" s="22"/>
      <c r="JHR166" s="22"/>
      <c r="JHS166" s="22"/>
      <c r="JHT166" s="22"/>
      <c r="JHU166" s="22"/>
      <c r="JHV166" s="22"/>
      <c r="JHW166" s="22"/>
      <c r="JHX166" s="22"/>
      <c r="JHY166" s="22"/>
      <c r="JHZ166" s="22"/>
      <c r="JIA166" s="22"/>
      <c r="JIB166" s="22"/>
      <c r="JIC166" s="22"/>
      <c r="JID166" s="22"/>
      <c r="JIE166" s="22"/>
      <c r="JIF166" s="22"/>
      <c r="JIG166" s="22"/>
      <c r="JIH166" s="22"/>
      <c r="JII166" s="22"/>
      <c r="JIJ166" s="22"/>
      <c r="JIK166" s="22"/>
      <c r="JIL166" s="22"/>
      <c r="JIM166" s="22"/>
      <c r="JIN166" s="22"/>
      <c r="JIO166" s="22"/>
      <c r="JIP166" s="22"/>
      <c r="JIQ166" s="22"/>
      <c r="JIR166" s="22"/>
      <c r="JIS166" s="22"/>
      <c r="JIT166" s="22"/>
      <c r="JIU166" s="22"/>
      <c r="JIV166" s="22"/>
      <c r="JIW166" s="22"/>
      <c r="JIX166" s="22"/>
      <c r="JIY166" s="22"/>
      <c r="JIZ166" s="22"/>
      <c r="JJA166" s="22"/>
      <c r="JJB166" s="22"/>
      <c r="JJC166" s="22"/>
      <c r="JJD166" s="22"/>
      <c r="JJE166" s="22"/>
      <c r="JJF166" s="22"/>
      <c r="JJG166" s="22"/>
      <c r="JJH166" s="22"/>
      <c r="JJI166" s="22"/>
      <c r="JJJ166" s="22"/>
      <c r="JJK166" s="22"/>
      <c r="JJL166" s="22"/>
      <c r="JJM166" s="22"/>
      <c r="JJN166" s="22"/>
      <c r="JJO166" s="22"/>
      <c r="JJP166" s="22"/>
      <c r="JJQ166" s="22"/>
      <c r="JJR166" s="22"/>
      <c r="JJS166" s="22"/>
      <c r="JJT166" s="22"/>
      <c r="JJU166" s="22"/>
      <c r="JJV166" s="22"/>
      <c r="JJW166" s="22"/>
      <c r="JJX166" s="22"/>
      <c r="JJY166" s="22"/>
      <c r="JJZ166" s="22"/>
      <c r="JKA166" s="22"/>
      <c r="JKB166" s="22"/>
      <c r="JKC166" s="22"/>
      <c r="JKD166" s="22"/>
      <c r="JKE166" s="22"/>
      <c r="JKF166" s="22"/>
      <c r="JKG166" s="22"/>
      <c r="JKH166" s="22"/>
      <c r="JKI166" s="22"/>
      <c r="JKJ166" s="22"/>
      <c r="JKK166" s="22"/>
      <c r="JKL166" s="22"/>
      <c r="JKM166" s="22"/>
      <c r="JKN166" s="22"/>
      <c r="JKO166" s="22"/>
      <c r="JKP166" s="22"/>
      <c r="JKQ166" s="22"/>
      <c r="JKR166" s="22"/>
      <c r="JKS166" s="22"/>
      <c r="JKT166" s="22"/>
      <c r="JKU166" s="22"/>
      <c r="JKV166" s="22"/>
      <c r="JKW166" s="22"/>
      <c r="JKX166" s="22"/>
      <c r="JKY166" s="22"/>
      <c r="JKZ166" s="22"/>
      <c r="JLA166" s="22"/>
      <c r="JLB166" s="22"/>
      <c r="JLC166" s="22"/>
      <c r="JLD166" s="22"/>
      <c r="JLE166" s="22"/>
      <c r="JLF166" s="22"/>
      <c r="JLG166" s="22"/>
      <c r="JLH166" s="22"/>
      <c r="JLI166" s="22"/>
      <c r="JLJ166" s="22"/>
      <c r="JLK166" s="22"/>
      <c r="JLL166" s="22"/>
      <c r="JLM166" s="22"/>
      <c r="JLN166" s="22"/>
      <c r="JLO166" s="22"/>
      <c r="JLP166" s="22"/>
      <c r="JLQ166" s="22"/>
      <c r="JLR166" s="22"/>
      <c r="JLS166" s="22"/>
      <c r="JLT166" s="22"/>
      <c r="JLU166" s="22"/>
      <c r="JLV166" s="22"/>
      <c r="JLW166" s="22"/>
      <c r="JLX166" s="22"/>
      <c r="JLY166" s="22"/>
      <c r="JLZ166" s="22"/>
      <c r="JMA166" s="22"/>
      <c r="JMB166" s="22"/>
      <c r="JMC166" s="22"/>
      <c r="JMD166" s="22"/>
      <c r="JME166" s="22"/>
      <c r="JMF166" s="22"/>
      <c r="JMG166" s="22"/>
      <c r="JMH166" s="22"/>
      <c r="JMI166" s="22"/>
      <c r="JMJ166" s="22"/>
      <c r="JMK166" s="22"/>
      <c r="JML166" s="22"/>
      <c r="JMM166" s="22"/>
      <c r="JMN166" s="22"/>
      <c r="JMO166" s="22"/>
      <c r="JMP166" s="22"/>
      <c r="JMQ166" s="22"/>
      <c r="JMR166" s="22"/>
      <c r="JMS166" s="22"/>
      <c r="JMT166" s="22"/>
      <c r="JMU166" s="22"/>
      <c r="JMV166" s="22"/>
      <c r="JMW166" s="22"/>
      <c r="JMX166" s="22"/>
      <c r="JMY166" s="22"/>
      <c r="JMZ166" s="22"/>
      <c r="JNA166" s="22"/>
      <c r="JNB166" s="22"/>
      <c r="JNC166" s="22"/>
      <c r="JND166" s="22"/>
      <c r="JNE166" s="22"/>
      <c r="JNF166" s="22"/>
      <c r="JNG166" s="22"/>
      <c r="JNH166" s="22"/>
      <c r="JNI166" s="22"/>
      <c r="JNJ166" s="22"/>
      <c r="JNK166" s="22"/>
      <c r="JNL166" s="22"/>
      <c r="JNM166" s="22"/>
      <c r="JNN166" s="22"/>
      <c r="JNO166" s="22"/>
      <c r="JNP166" s="22"/>
      <c r="JNQ166" s="22"/>
      <c r="JNR166" s="22"/>
      <c r="JNS166" s="22"/>
      <c r="JNT166" s="22"/>
      <c r="JNU166" s="22"/>
      <c r="JNV166" s="22"/>
      <c r="JNW166" s="22"/>
      <c r="JNX166" s="22"/>
      <c r="JNY166" s="22"/>
      <c r="JNZ166" s="22"/>
      <c r="JOA166" s="22"/>
      <c r="JOB166" s="22"/>
      <c r="JOC166" s="22"/>
      <c r="JOD166" s="22"/>
      <c r="JOE166" s="22"/>
      <c r="JOF166" s="22"/>
      <c r="JOG166" s="22"/>
      <c r="JOH166" s="22"/>
      <c r="JOI166" s="22"/>
      <c r="JOJ166" s="22"/>
      <c r="JOK166" s="22"/>
      <c r="JOL166" s="22"/>
      <c r="JOM166" s="22"/>
      <c r="JON166" s="22"/>
      <c r="JOO166" s="22"/>
      <c r="JOP166" s="22"/>
      <c r="JOQ166" s="22"/>
      <c r="JOR166" s="22"/>
      <c r="JOS166" s="22"/>
      <c r="JOT166" s="22"/>
      <c r="JOU166" s="22"/>
      <c r="JOV166" s="22"/>
      <c r="JOW166" s="22"/>
      <c r="JOX166" s="22"/>
      <c r="JOY166" s="22"/>
      <c r="JOZ166" s="22"/>
      <c r="JPA166" s="22"/>
      <c r="JPB166" s="22"/>
      <c r="JPC166" s="22"/>
      <c r="JPD166" s="22"/>
      <c r="JPE166" s="22"/>
      <c r="JPF166" s="22"/>
      <c r="JPG166" s="22"/>
      <c r="JPH166" s="22"/>
      <c r="JPI166" s="22"/>
      <c r="JPJ166" s="22"/>
      <c r="JPK166" s="22"/>
      <c r="JPL166" s="22"/>
      <c r="JPM166" s="22"/>
      <c r="JPN166" s="22"/>
      <c r="JPO166" s="22"/>
      <c r="JPP166" s="22"/>
      <c r="JPQ166" s="22"/>
      <c r="JPR166" s="22"/>
      <c r="JPS166" s="22"/>
      <c r="JPT166" s="22"/>
      <c r="JPU166" s="22"/>
      <c r="JPV166" s="22"/>
      <c r="JPW166" s="22"/>
      <c r="JPX166" s="22"/>
      <c r="JPY166" s="22"/>
      <c r="JPZ166" s="22"/>
      <c r="JQA166" s="22"/>
      <c r="JQB166" s="22"/>
      <c r="JQC166" s="22"/>
      <c r="JQD166" s="22"/>
      <c r="JQE166" s="22"/>
      <c r="JQF166" s="22"/>
      <c r="JQG166" s="22"/>
      <c r="JQH166" s="22"/>
      <c r="JQI166" s="22"/>
      <c r="JQJ166" s="22"/>
      <c r="JQK166" s="22"/>
      <c r="JQL166" s="22"/>
      <c r="JQM166" s="22"/>
      <c r="JQN166" s="22"/>
      <c r="JQO166" s="22"/>
      <c r="JQP166" s="22"/>
      <c r="JQQ166" s="22"/>
      <c r="JQR166" s="22"/>
      <c r="JQS166" s="22"/>
      <c r="JQT166" s="22"/>
      <c r="JQU166" s="22"/>
      <c r="JQV166" s="22"/>
      <c r="JQW166" s="22"/>
      <c r="JQX166" s="22"/>
      <c r="JQY166" s="22"/>
      <c r="JQZ166" s="22"/>
      <c r="JRA166" s="22"/>
      <c r="JRB166" s="22"/>
      <c r="JRC166" s="22"/>
      <c r="JRD166" s="22"/>
      <c r="JRE166" s="22"/>
      <c r="JRF166" s="22"/>
      <c r="JRG166" s="22"/>
      <c r="JRH166" s="22"/>
      <c r="JRI166" s="22"/>
      <c r="JRJ166" s="22"/>
      <c r="JRK166" s="22"/>
      <c r="JRL166" s="22"/>
      <c r="JRM166" s="22"/>
      <c r="JRN166" s="22"/>
      <c r="JRO166" s="22"/>
      <c r="JRP166" s="22"/>
      <c r="JRQ166" s="22"/>
      <c r="JRR166" s="22"/>
      <c r="JRS166" s="22"/>
      <c r="JRT166" s="22"/>
      <c r="JRU166" s="22"/>
      <c r="JRV166" s="22"/>
      <c r="JRW166" s="22"/>
      <c r="JRX166" s="22"/>
      <c r="JRY166" s="22"/>
      <c r="JRZ166" s="22"/>
      <c r="JSA166" s="22"/>
      <c r="JSB166" s="22"/>
      <c r="JSC166" s="22"/>
      <c r="JSD166" s="22"/>
      <c r="JSE166" s="22"/>
      <c r="JSF166" s="22"/>
      <c r="JSG166" s="22"/>
      <c r="JSH166" s="22"/>
      <c r="JSI166" s="22"/>
      <c r="JSJ166" s="22"/>
      <c r="JSK166" s="22"/>
      <c r="JSL166" s="22"/>
      <c r="JSM166" s="22"/>
      <c r="JSN166" s="22"/>
      <c r="JSO166" s="22"/>
      <c r="JSP166" s="22"/>
      <c r="JSQ166" s="22"/>
      <c r="JSR166" s="22"/>
      <c r="JSS166" s="22"/>
      <c r="JST166" s="22"/>
      <c r="JSU166" s="22"/>
      <c r="JSV166" s="22"/>
      <c r="JSW166" s="22"/>
      <c r="JSX166" s="22"/>
      <c r="JSY166" s="22"/>
      <c r="JSZ166" s="22"/>
      <c r="JTA166" s="22"/>
      <c r="JTB166" s="22"/>
      <c r="JTC166" s="22"/>
      <c r="JTD166" s="22"/>
      <c r="JTE166" s="22"/>
      <c r="JTF166" s="22"/>
      <c r="JTG166" s="22"/>
      <c r="JTH166" s="22"/>
      <c r="JTI166" s="22"/>
      <c r="JTJ166" s="22"/>
      <c r="JTK166" s="22"/>
      <c r="JTL166" s="22"/>
      <c r="JTM166" s="22"/>
      <c r="JTN166" s="22"/>
      <c r="JTO166" s="22"/>
      <c r="JTP166" s="22"/>
      <c r="JTQ166" s="22"/>
      <c r="JTR166" s="22"/>
      <c r="JTS166" s="22"/>
      <c r="JTT166" s="22"/>
      <c r="JTU166" s="22"/>
      <c r="JTV166" s="22"/>
      <c r="JTW166" s="22"/>
      <c r="JTX166" s="22"/>
      <c r="JTY166" s="22"/>
      <c r="JTZ166" s="22"/>
      <c r="JUA166" s="22"/>
      <c r="JUB166" s="22"/>
      <c r="JUC166" s="22"/>
      <c r="JUD166" s="22"/>
      <c r="JUE166" s="22"/>
      <c r="JUF166" s="22"/>
      <c r="JUG166" s="22"/>
      <c r="JUH166" s="22"/>
      <c r="JUI166" s="22"/>
      <c r="JUJ166" s="22"/>
      <c r="JUK166" s="22"/>
      <c r="JUL166" s="22"/>
      <c r="JUM166" s="22"/>
      <c r="JUN166" s="22"/>
      <c r="JUO166" s="22"/>
      <c r="JUP166" s="22"/>
      <c r="JUQ166" s="22"/>
      <c r="JUR166" s="22"/>
      <c r="JUS166" s="22"/>
      <c r="JUT166" s="22"/>
      <c r="JUU166" s="22"/>
      <c r="JUV166" s="22"/>
      <c r="JUW166" s="22"/>
      <c r="JUX166" s="22"/>
      <c r="JUY166" s="22"/>
      <c r="JUZ166" s="22"/>
      <c r="JVA166" s="22"/>
      <c r="JVB166" s="22"/>
      <c r="JVC166" s="22"/>
      <c r="JVD166" s="22"/>
      <c r="JVE166" s="22"/>
      <c r="JVF166" s="22"/>
      <c r="JVG166" s="22"/>
      <c r="JVH166" s="22"/>
      <c r="JVI166" s="22"/>
      <c r="JVJ166" s="22"/>
      <c r="JVK166" s="22"/>
      <c r="JVL166" s="22"/>
      <c r="JVM166" s="22"/>
      <c r="JVN166" s="22"/>
      <c r="JVO166" s="22"/>
      <c r="JVP166" s="22"/>
      <c r="JVQ166" s="22"/>
      <c r="JVR166" s="22"/>
      <c r="JVS166" s="22"/>
      <c r="JVT166" s="22"/>
      <c r="JVU166" s="22"/>
      <c r="JVV166" s="22"/>
      <c r="JVW166" s="22"/>
      <c r="JVX166" s="22"/>
      <c r="JVY166" s="22"/>
      <c r="JVZ166" s="22"/>
      <c r="JWA166" s="22"/>
      <c r="JWB166" s="22"/>
      <c r="JWC166" s="22"/>
      <c r="JWD166" s="22"/>
      <c r="JWE166" s="22"/>
      <c r="JWF166" s="22"/>
      <c r="JWG166" s="22"/>
      <c r="JWH166" s="22"/>
      <c r="JWI166" s="22"/>
      <c r="JWJ166" s="22"/>
      <c r="JWK166" s="22"/>
      <c r="JWL166" s="22"/>
      <c r="JWM166" s="22"/>
      <c r="JWN166" s="22"/>
      <c r="JWO166" s="22"/>
      <c r="JWP166" s="22"/>
      <c r="JWQ166" s="22"/>
      <c r="JWR166" s="22"/>
      <c r="JWS166" s="22"/>
      <c r="JWT166" s="22"/>
      <c r="JWU166" s="22"/>
      <c r="JWV166" s="22"/>
      <c r="JWW166" s="22"/>
      <c r="JWX166" s="22"/>
      <c r="JWY166" s="22"/>
      <c r="JWZ166" s="22"/>
      <c r="JXA166" s="22"/>
      <c r="JXB166" s="22"/>
      <c r="JXC166" s="22"/>
      <c r="JXD166" s="22"/>
      <c r="JXE166" s="22"/>
      <c r="JXF166" s="22"/>
      <c r="JXG166" s="22"/>
      <c r="JXH166" s="22"/>
      <c r="JXI166" s="22"/>
      <c r="JXJ166" s="22"/>
      <c r="JXK166" s="22"/>
      <c r="JXL166" s="22"/>
      <c r="JXM166" s="22"/>
      <c r="JXN166" s="22"/>
      <c r="JXO166" s="22"/>
      <c r="JXP166" s="22"/>
      <c r="JXQ166" s="22"/>
      <c r="JXR166" s="22"/>
      <c r="JXS166" s="22"/>
      <c r="JXT166" s="22"/>
      <c r="JXU166" s="22"/>
      <c r="JXV166" s="22"/>
      <c r="JXW166" s="22"/>
      <c r="JXX166" s="22"/>
      <c r="JXY166" s="22"/>
      <c r="JXZ166" s="22"/>
      <c r="JYA166" s="22"/>
      <c r="JYB166" s="22"/>
      <c r="JYC166" s="22"/>
      <c r="JYD166" s="22"/>
      <c r="JYE166" s="22"/>
      <c r="JYF166" s="22"/>
      <c r="JYG166" s="22"/>
      <c r="JYH166" s="22"/>
      <c r="JYI166" s="22"/>
      <c r="JYJ166" s="22"/>
      <c r="JYK166" s="22"/>
      <c r="JYL166" s="22"/>
      <c r="JYM166" s="22"/>
      <c r="JYN166" s="22"/>
      <c r="JYO166" s="22"/>
      <c r="JYP166" s="22"/>
      <c r="JYQ166" s="22"/>
      <c r="JYR166" s="22"/>
      <c r="JYS166" s="22"/>
      <c r="JYT166" s="22"/>
      <c r="JYU166" s="22"/>
      <c r="JYV166" s="22"/>
      <c r="JYW166" s="22"/>
      <c r="JYX166" s="22"/>
      <c r="JYY166" s="22"/>
      <c r="JYZ166" s="22"/>
      <c r="JZA166" s="22"/>
      <c r="JZB166" s="22"/>
      <c r="JZC166" s="22"/>
      <c r="JZD166" s="22"/>
      <c r="JZE166" s="22"/>
      <c r="JZF166" s="22"/>
      <c r="JZG166" s="22"/>
      <c r="JZH166" s="22"/>
      <c r="JZI166" s="22"/>
      <c r="JZJ166" s="22"/>
      <c r="JZK166" s="22"/>
      <c r="JZL166" s="22"/>
      <c r="JZM166" s="22"/>
      <c r="JZN166" s="22"/>
      <c r="JZO166" s="22"/>
      <c r="JZP166" s="22"/>
      <c r="JZQ166" s="22"/>
      <c r="JZR166" s="22"/>
      <c r="JZS166" s="22"/>
      <c r="JZT166" s="22"/>
      <c r="JZU166" s="22"/>
      <c r="JZV166" s="22"/>
      <c r="JZW166" s="22"/>
      <c r="JZX166" s="22"/>
      <c r="JZY166" s="22"/>
      <c r="JZZ166" s="22"/>
      <c r="KAA166" s="22"/>
      <c r="KAB166" s="22"/>
      <c r="KAC166" s="22"/>
      <c r="KAD166" s="22"/>
      <c r="KAE166" s="22"/>
      <c r="KAF166" s="22"/>
      <c r="KAG166" s="22"/>
      <c r="KAH166" s="22"/>
      <c r="KAI166" s="22"/>
      <c r="KAJ166" s="22"/>
      <c r="KAK166" s="22"/>
      <c r="KAL166" s="22"/>
      <c r="KAM166" s="22"/>
      <c r="KAN166" s="22"/>
      <c r="KAO166" s="22"/>
      <c r="KAP166" s="22"/>
      <c r="KAQ166" s="22"/>
      <c r="KAR166" s="22"/>
      <c r="KAS166" s="22"/>
      <c r="KAT166" s="22"/>
      <c r="KAU166" s="22"/>
      <c r="KAV166" s="22"/>
      <c r="KAW166" s="22"/>
      <c r="KAX166" s="22"/>
      <c r="KAY166" s="22"/>
      <c r="KAZ166" s="22"/>
      <c r="KBA166" s="22"/>
      <c r="KBB166" s="22"/>
      <c r="KBC166" s="22"/>
      <c r="KBD166" s="22"/>
      <c r="KBE166" s="22"/>
      <c r="KBF166" s="22"/>
      <c r="KBG166" s="22"/>
      <c r="KBH166" s="22"/>
      <c r="KBI166" s="22"/>
      <c r="KBJ166" s="22"/>
      <c r="KBK166" s="22"/>
      <c r="KBL166" s="22"/>
      <c r="KBM166" s="22"/>
      <c r="KBN166" s="22"/>
      <c r="KBO166" s="22"/>
      <c r="KBP166" s="22"/>
      <c r="KBQ166" s="22"/>
      <c r="KBR166" s="22"/>
      <c r="KBS166" s="22"/>
      <c r="KBT166" s="22"/>
      <c r="KBU166" s="22"/>
      <c r="KBV166" s="22"/>
      <c r="KBW166" s="22"/>
      <c r="KBX166" s="22"/>
      <c r="KBY166" s="22"/>
      <c r="KBZ166" s="22"/>
      <c r="KCA166" s="22"/>
      <c r="KCB166" s="22"/>
      <c r="KCC166" s="22"/>
      <c r="KCD166" s="22"/>
      <c r="KCE166" s="22"/>
      <c r="KCF166" s="22"/>
      <c r="KCG166" s="22"/>
      <c r="KCH166" s="22"/>
      <c r="KCI166" s="22"/>
      <c r="KCJ166" s="22"/>
      <c r="KCK166" s="22"/>
      <c r="KCL166" s="22"/>
      <c r="KCM166" s="22"/>
      <c r="KCN166" s="22"/>
      <c r="KCO166" s="22"/>
      <c r="KCP166" s="22"/>
      <c r="KCQ166" s="22"/>
      <c r="KCR166" s="22"/>
      <c r="KCS166" s="22"/>
      <c r="KCT166" s="22"/>
      <c r="KCU166" s="22"/>
      <c r="KCV166" s="22"/>
      <c r="KCW166" s="22"/>
      <c r="KCX166" s="22"/>
      <c r="KCY166" s="22"/>
      <c r="KCZ166" s="22"/>
      <c r="KDA166" s="22"/>
      <c r="KDB166" s="22"/>
      <c r="KDC166" s="22"/>
      <c r="KDD166" s="22"/>
      <c r="KDE166" s="22"/>
      <c r="KDF166" s="22"/>
      <c r="KDG166" s="22"/>
      <c r="KDH166" s="22"/>
      <c r="KDI166" s="22"/>
      <c r="KDJ166" s="22"/>
      <c r="KDK166" s="22"/>
      <c r="KDL166" s="22"/>
      <c r="KDM166" s="22"/>
      <c r="KDN166" s="22"/>
      <c r="KDO166" s="22"/>
      <c r="KDP166" s="22"/>
      <c r="KDQ166" s="22"/>
      <c r="KDR166" s="22"/>
      <c r="KDS166" s="22"/>
      <c r="KDT166" s="22"/>
      <c r="KDU166" s="22"/>
      <c r="KDV166" s="22"/>
      <c r="KDW166" s="22"/>
      <c r="KDX166" s="22"/>
      <c r="KDY166" s="22"/>
      <c r="KDZ166" s="22"/>
      <c r="KEA166" s="22"/>
      <c r="KEB166" s="22"/>
      <c r="KEC166" s="22"/>
      <c r="KED166" s="22"/>
      <c r="KEE166" s="22"/>
      <c r="KEF166" s="22"/>
      <c r="KEG166" s="22"/>
      <c r="KEH166" s="22"/>
      <c r="KEI166" s="22"/>
      <c r="KEJ166" s="22"/>
      <c r="KEK166" s="22"/>
      <c r="KEL166" s="22"/>
      <c r="KEM166" s="22"/>
      <c r="KEN166" s="22"/>
      <c r="KEO166" s="22"/>
      <c r="KEP166" s="22"/>
      <c r="KEQ166" s="22"/>
      <c r="KER166" s="22"/>
      <c r="KES166" s="22"/>
      <c r="KET166" s="22"/>
      <c r="KEU166" s="22"/>
      <c r="KEV166" s="22"/>
      <c r="KEW166" s="22"/>
      <c r="KEX166" s="22"/>
      <c r="KEY166" s="22"/>
      <c r="KEZ166" s="22"/>
      <c r="KFA166" s="22"/>
      <c r="KFB166" s="22"/>
      <c r="KFC166" s="22"/>
      <c r="KFD166" s="22"/>
      <c r="KFE166" s="22"/>
      <c r="KFF166" s="22"/>
      <c r="KFG166" s="22"/>
      <c r="KFH166" s="22"/>
      <c r="KFI166" s="22"/>
      <c r="KFJ166" s="22"/>
      <c r="KFK166" s="22"/>
      <c r="KFL166" s="22"/>
      <c r="KFM166" s="22"/>
      <c r="KFN166" s="22"/>
      <c r="KFO166" s="22"/>
      <c r="KFP166" s="22"/>
      <c r="KFQ166" s="22"/>
      <c r="KFR166" s="22"/>
      <c r="KFS166" s="22"/>
      <c r="KFT166" s="22"/>
      <c r="KFU166" s="22"/>
      <c r="KFV166" s="22"/>
      <c r="KFW166" s="22"/>
      <c r="KFX166" s="22"/>
      <c r="KFY166" s="22"/>
      <c r="KFZ166" s="22"/>
      <c r="KGA166" s="22"/>
      <c r="KGB166" s="22"/>
      <c r="KGC166" s="22"/>
      <c r="KGD166" s="22"/>
      <c r="KGE166" s="22"/>
      <c r="KGF166" s="22"/>
      <c r="KGG166" s="22"/>
      <c r="KGH166" s="22"/>
      <c r="KGI166" s="22"/>
      <c r="KGJ166" s="22"/>
      <c r="KGK166" s="22"/>
      <c r="KGL166" s="22"/>
      <c r="KGM166" s="22"/>
      <c r="KGN166" s="22"/>
      <c r="KGO166" s="22"/>
      <c r="KGP166" s="22"/>
      <c r="KGQ166" s="22"/>
      <c r="KGR166" s="22"/>
      <c r="KGS166" s="22"/>
      <c r="KGT166" s="22"/>
      <c r="KGU166" s="22"/>
      <c r="KGV166" s="22"/>
      <c r="KGW166" s="22"/>
      <c r="KGX166" s="22"/>
      <c r="KGY166" s="22"/>
      <c r="KGZ166" s="22"/>
      <c r="KHA166" s="22"/>
      <c r="KHB166" s="22"/>
      <c r="KHC166" s="22"/>
      <c r="KHD166" s="22"/>
      <c r="KHE166" s="22"/>
      <c r="KHF166" s="22"/>
      <c r="KHG166" s="22"/>
      <c r="KHH166" s="22"/>
      <c r="KHI166" s="22"/>
      <c r="KHJ166" s="22"/>
      <c r="KHK166" s="22"/>
      <c r="KHL166" s="22"/>
      <c r="KHM166" s="22"/>
      <c r="KHN166" s="22"/>
      <c r="KHO166" s="22"/>
      <c r="KHP166" s="22"/>
      <c r="KHQ166" s="22"/>
      <c r="KHR166" s="22"/>
      <c r="KHS166" s="22"/>
      <c r="KHT166" s="22"/>
      <c r="KHU166" s="22"/>
      <c r="KHV166" s="22"/>
      <c r="KHW166" s="22"/>
      <c r="KHX166" s="22"/>
      <c r="KHY166" s="22"/>
      <c r="KHZ166" s="22"/>
      <c r="KIA166" s="22"/>
      <c r="KIB166" s="22"/>
      <c r="KIC166" s="22"/>
      <c r="KID166" s="22"/>
      <c r="KIE166" s="22"/>
      <c r="KIF166" s="22"/>
      <c r="KIG166" s="22"/>
      <c r="KIH166" s="22"/>
      <c r="KII166" s="22"/>
      <c r="KIJ166" s="22"/>
      <c r="KIK166" s="22"/>
      <c r="KIL166" s="22"/>
      <c r="KIM166" s="22"/>
      <c r="KIN166" s="22"/>
      <c r="KIO166" s="22"/>
      <c r="KIP166" s="22"/>
      <c r="KIQ166" s="22"/>
      <c r="KIR166" s="22"/>
      <c r="KIS166" s="22"/>
      <c r="KIT166" s="22"/>
      <c r="KIU166" s="22"/>
      <c r="KIV166" s="22"/>
      <c r="KIW166" s="22"/>
      <c r="KIX166" s="22"/>
      <c r="KIY166" s="22"/>
      <c r="KIZ166" s="22"/>
      <c r="KJA166" s="22"/>
      <c r="KJB166" s="22"/>
      <c r="KJC166" s="22"/>
      <c r="KJD166" s="22"/>
      <c r="KJE166" s="22"/>
      <c r="KJF166" s="22"/>
      <c r="KJG166" s="22"/>
      <c r="KJH166" s="22"/>
      <c r="KJI166" s="22"/>
      <c r="KJJ166" s="22"/>
      <c r="KJK166" s="22"/>
      <c r="KJL166" s="22"/>
      <c r="KJM166" s="22"/>
      <c r="KJN166" s="22"/>
      <c r="KJO166" s="22"/>
      <c r="KJP166" s="22"/>
      <c r="KJQ166" s="22"/>
      <c r="KJR166" s="22"/>
      <c r="KJS166" s="22"/>
      <c r="KJT166" s="22"/>
      <c r="KJU166" s="22"/>
      <c r="KJV166" s="22"/>
      <c r="KJW166" s="22"/>
      <c r="KJX166" s="22"/>
      <c r="KJY166" s="22"/>
      <c r="KJZ166" s="22"/>
      <c r="KKA166" s="22"/>
      <c r="KKB166" s="22"/>
      <c r="KKC166" s="22"/>
      <c r="KKD166" s="22"/>
      <c r="KKE166" s="22"/>
      <c r="KKF166" s="22"/>
      <c r="KKG166" s="22"/>
      <c r="KKH166" s="22"/>
      <c r="KKI166" s="22"/>
      <c r="KKJ166" s="22"/>
      <c r="KKK166" s="22"/>
      <c r="KKL166" s="22"/>
      <c r="KKM166" s="22"/>
      <c r="KKN166" s="22"/>
      <c r="KKO166" s="22"/>
      <c r="KKP166" s="22"/>
      <c r="KKQ166" s="22"/>
      <c r="KKR166" s="22"/>
      <c r="KKS166" s="22"/>
      <c r="KKT166" s="22"/>
      <c r="KKU166" s="22"/>
      <c r="KKV166" s="22"/>
      <c r="KKW166" s="22"/>
      <c r="KKX166" s="22"/>
      <c r="KKY166" s="22"/>
      <c r="KKZ166" s="22"/>
      <c r="KLA166" s="22"/>
      <c r="KLB166" s="22"/>
      <c r="KLC166" s="22"/>
      <c r="KLD166" s="22"/>
      <c r="KLE166" s="22"/>
      <c r="KLF166" s="22"/>
      <c r="KLG166" s="22"/>
      <c r="KLH166" s="22"/>
      <c r="KLI166" s="22"/>
      <c r="KLJ166" s="22"/>
      <c r="KLK166" s="22"/>
      <c r="KLL166" s="22"/>
      <c r="KLM166" s="22"/>
      <c r="KLN166" s="22"/>
      <c r="KLO166" s="22"/>
      <c r="KLP166" s="22"/>
      <c r="KLQ166" s="22"/>
      <c r="KLR166" s="22"/>
      <c r="KLS166" s="22"/>
      <c r="KLT166" s="22"/>
      <c r="KLU166" s="22"/>
      <c r="KLV166" s="22"/>
      <c r="KLW166" s="22"/>
      <c r="KLX166" s="22"/>
      <c r="KLY166" s="22"/>
      <c r="KLZ166" s="22"/>
      <c r="KMA166" s="22"/>
      <c r="KMB166" s="22"/>
      <c r="KMC166" s="22"/>
      <c r="KMD166" s="22"/>
      <c r="KME166" s="22"/>
      <c r="KMF166" s="22"/>
      <c r="KMG166" s="22"/>
      <c r="KMH166" s="22"/>
      <c r="KMI166" s="22"/>
      <c r="KMJ166" s="22"/>
      <c r="KMK166" s="22"/>
      <c r="KML166" s="22"/>
      <c r="KMM166" s="22"/>
      <c r="KMN166" s="22"/>
      <c r="KMO166" s="22"/>
      <c r="KMP166" s="22"/>
      <c r="KMQ166" s="22"/>
      <c r="KMR166" s="22"/>
      <c r="KMS166" s="22"/>
      <c r="KMT166" s="22"/>
      <c r="KMU166" s="22"/>
      <c r="KMV166" s="22"/>
      <c r="KMW166" s="22"/>
      <c r="KMX166" s="22"/>
      <c r="KMY166" s="22"/>
      <c r="KMZ166" s="22"/>
      <c r="KNA166" s="22"/>
      <c r="KNB166" s="22"/>
      <c r="KNC166" s="22"/>
      <c r="KND166" s="22"/>
      <c r="KNE166" s="22"/>
      <c r="KNF166" s="22"/>
      <c r="KNG166" s="22"/>
      <c r="KNH166" s="22"/>
      <c r="KNI166" s="22"/>
      <c r="KNJ166" s="22"/>
      <c r="KNK166" s="22"/>
      <c r="KNL166" s="22"/>
      <c r="KNM166" s="22"/>
      <c r="KNN166" s="22"/>
      <c r="KNO166" s="22"/>
      <c r="KNP166" s="22"/>
      <c r="KNQ166" s="22"/>
      <c r="KNR166" s="22"/>
      <c r="KNS166" s="22"/>
      <c r="KNT166" s="22"/>
      <c r="KNU166" s="22"/>
      <c r="KNV166" s="22"/>
      <c r="KNW166" s="22"/>
      <c r="KNX166" s="22"/>
      <c r="KNY166" s="22"/>
      <c r="KNZ166" s="22"/>
      <c r="KOA166" s="22"/>
      <c r="KOB166" s="22"/>
      <c r="KOC166" s="22"/>
      <c r="KOD166" s="22"/>
      <c r="KOE166" s="22"/>
      <c r="KOF166" s="22"/>
      <c r="KOG166" s="22"/>
      <c r="KOH166" s="22"/>
      <c r="KOI166" s="22"/>
      <c r="KOJ166" s="22"/>
      <c r="KOK166" s="22"/>
      <c r="KOL166" s="22"/>
      <c r="KOM166" s="22"/>
      <c r="KON166" s="22"/>
      <c r="KOO166" s="22"/>
      <c r="KOP166" s="22"/>
      <c r="KOQ166" s="22"/>
      <c r="KOR166" s="22"/>
      <c r="KOS166" s="22"/>
      <c r="KOT166" s="22"/>
      <c r="KOU166" s="22"/>
      <c r="KOV166" s="22"/>
      <c r="KOW166" s="22"/>
      <c r="KOX166" s="22"/>
      <c r="KOY166" s="22"/>
      <c r="KOZ166" s="22"/>
      <c r="KPA166" s="22"/>
      <c r="KPB166" s="22"/>
      <c r="KPC166" s="22"/>
      <c r="KPD166" s="22"/>
      <c r="KPE166" s="22"/>
      <c r="KPF166" s="22"/>
      <c r="KPG166" s="22"/>
      <c r="KPH166" s="22"/>
      <c r="KPI166" s="22"/>
      <c r="KPJ166" s="22"/>
      <c r="KPK166" s="22"/>
      <c r="KPL166" s="22"/>
      <c r="KPM166" s="22"/>
      <c r="KPN166" s="22"/>
      <c r="KPO166" s="22"/>
      <c r="KPP166" s="22"/>
      <c r="KPQ166" s="22"/>
      <c r="KPR166" s="22"/>
      <c r="KPS166" s="22"/>
      <c r="KPT166" s="22"/>
      <c r="KPU166" s="22"/>
      <c r="KPV166" s="22"/>
      <c r="KPW166" s="22"/>
      <c r="KPX166" s="22"/>
      <c r="KPY166" s="22"/>
      <c r="KPZ166" s="22"/>
      <c r="KQA166" s="22"/>
      <c r="KQB166" s="22"/>
      <c r="KQC166" s="22"/>
      <c r="KQD166" s="22"/>
      <c r="KQE166" s="22"/>
      <c r="KQF166" s="22"/>
      <c r="KQG166" s="22"/>
      <c r="KQH166" s="22"/>
      <c r="KQI166" s="22"/>
      <c r="KQJ166" s="22"/>
      <c r="KQK166" s="22"/>
      <c r="KQL166" s="22"/>
      <c r="KQM166" s="22"/>
      <c r="KQN166" s="22"/>
      <c r="KQO166" s="22"/>
      <c r="KQP166" s="22"/>
      <c r="KQQ166" s="22"/>
      <c r="KQR166" s="22"/>
      <c r="KQS166" s="22"/>
      <c r="KQT166" s="22"/>
      <c r="KQU166" s="22"/>
      <c r="KQV166" s="22"/>
      <c r="KQW166" s="22"/>
      <c r="KQX166" s="22"/>
      <c r="KQY166" s="22"/>
      <c r="KQZ166" s="22"/>
      <c r="KRA166" s="22"/>
      <c r="KRB166" s="22"/>
      <c r="KRC166" s="22"/>
      <c r="KRD166" s="22"/>
      <c r="KRE166" s="22"/>
      <c r="KRF166" s="22"/>
      <c r="KRG166" s="22"/>
      <c r="KRH166" s="22"/>
      <c r="KRI166" s="22"/>
      <c r="KRJ166" s="22"/>
      <c r="KRK166" s="22"/>
      <c r="KRL166" s="22"/>
      <c r="KRM166" s="22"/>
      <c r="KRN166" s="22"/>
      <c r="KRO166" s="22"/>
      <c r="KRP166" s="22"/>
      <c r="KRQ166" s="22"/>
      <c r="KRR166" s="22"/>
      <c r="KRS166" s="22"/>
      <c r="KRT166" s="22"/>
      <c r="KRU166" s="22"/>
      <c r="KRV166" s="22"/>
      <c r="KRW166" s="22"/>
      <c r="KRX166" s="22"/>
      <c r="KRY166" s="22"/>
      <c r="KRZ166" s="22"/>
      <c r="KSA166" s="22"/>
      <c r="KSB166" s="22"/>
      <c r="KSC166" s="22"/>
      <c r="KSD166" s="22"/>
      <c r="KSE166" s="22"/>
      <c r="KSF166" s="22"/>
      <c r="KSG166" s="22"/>
      <c r="KSH166" s="22"/>
      <c r="KSI166" s="22"/>
      <c r="KSJ166" s="22"/>
      <c r="KSK166" s="22"/>
      <c r="KSL166" s="22"/>
      <c r="KSM166" s="22"/>
      <c r="KSN166" s="22"/>
      <c r="KSO166" s="22"/>
      <c r="KSP166" s="22"/>
      <c r="KSQ166" s="22"/>
      <c r="KSR166" s="22"/>
      <c r="KSS166" s="22"/>
      <c r="KST166" s="22"/>
      <c r="KSU166" s="22"/>
      <c r="KSV166" s="22"/>
      <c r="KSW166" s="22"/>
      <c r="KSX166" s="22"/>
      <c r="KSY166" s="22"/>
      <c r="KSZ166" s="22"/>
      <c r="KTA166" s="22"/>
      <c r="KTB166" s="22"/>
      <c r="KTC166" s="22"/>
      <c r="KTD166" s="22"/>
      <c r="KTE166" s="22"/>
      <c r="KTF166" s="22"/>
      <c r="KTG166" s="22"/>
      <c r="KTH166" s="22"/>
      <c r="KTI166" s="22"/>
      <c r="KTJ166" s="22"/>
      <c r="KTK166" s="22"/>
      <c r="KTL166" s="22"/>
      <c r="KTM166" s="22"/>
      <c r="KTN166" s="22"/>
      <c r="KTO166" s="22"/>
      <c r="KTP166" s="22"/>
      <c r="KTQ166" s="22"/>
      <c r="KTR166" s="22"/>
      <c r="KTS166" s="22"/>
      <c r="KTT166" s="22"/>
      <c r="KTU166" s="22"/>
      <c r="KTV166" s="22"/>
      <c r="KTW166" s="22"/>
      <c r="KTX166" s="22"/>
      <c r="KTY166" s="22"/>
      <c r="KTZ166" s="22"/>
      <c r="KUA166" s="22"/>
      <c r="KUB166" s="22"/>
      <c r="KUC166" s="22"/>
      <c r="KUD166" s="22"/>
      <c r="KUE166" s="22"/>
      <c r="KUF166" s="22"/>
      <c r="KUG166" s="22"/>
      <c r="KUH166" s="22"/>
      <c r="KUI166" s="22"/>
      <c r="KUJ166" s="22"/>
      <c r="KUK166" s="22"/>
      <c r="KUL166" s="22"/>
      <c r="KUM166" s="22"/>
      <c r="KUN166" s="22"/>
      <c r="KUO166" s="22"/>
      <c r="KUP166" s="22"/>
      <c r="KUQ166" s="22"/>
      <c r="KUR166" s="22"/>
      <c r="KUS166" s="22"/>
      <c r="KUT166" s="22"/>
      <c r="KUU166" s="22"/>
      <c r="KUV166" s="22"/>
      <c r="KUW166" s="22"/>
      <c r="KUX166" s="22"/>
      <c r="KUY166" s="22"/>
      <c r="KUZ166" s="22"/>
      <c r="KVA166" s="22"/>
      <c r="KVB166" s="22"/>
      <c r="KVC166" s="22"/>
      <c r="KVD166" s="22"/>
      <c r="KVE166" s="22"/>
      <c r="KVF166" s="22"/>
      <c r="KVG166" s="22"/>
      <c r="KVH166" s="22"/>
      <c r="KVI166" s="22"/>
      <c r="KVJ166" s="22"/>
      <c r="KVK166" s="22"/>
      <c r="KVL166" s="22"/>
      <c r="KVM166" s="22"/>
      <c r="KVN166" s="22"/>
      <c r="KVO166" s="22"/>
      <c r="KVP166" s="22"/>
      <c r="KVQ166" s="22"/>
      <c r="KVR166" s="22"/>
      <c r="KVS166" s="22"/>
      <c r="KVT166" s="22"/>
      <c r="KVU166" s="22"/>
      <c r="KVV166" s="22"/>
      <c r="KVW166" s="22"/>
      <c r="KVX166" s="22"/>
      <c r="KVY166" s="22"/>
      <c r="KVZ166" s="22"/>
      <c r="KWA166" s="22"/>
      <c r="KWB166" s="22"/>
      <c r="KWC166" s="22"/>
      <c r="KWD166" s="22"/>
      <c r="KWE166" s="22"/>
      <c r="KWF166" s="22"/>
      <c r="KWG166" s="22"/>
      <c r="KWH166" s="22"/>
      <c r="KWI166" s="22"/>
      <c r="KWJ166" s="22"/>
      <c r="KWK166" s="22"/>
      <c r="KWL166" s="22"/>
      <c r="KWM166" s="22"/>
      <c r="KWN166" s="22"/>
      <c r="KWO166" s="22"/>
      <c r="KWP166" s="22"/>
      <c r="KWQ166" s="22"/>
      <c r="KWR166" s="22"/>
      <c r="KWS166" s="22"/>
      <c r="KWT166" s="22"/>
      <c r="KWU166" s="22"/>
      <c r="KWV166" s="22"/>
      <c r="KWW166" s="22"/>
      <c r="KWX166" s="22"/>
      <c r="KWY166" s="22"/>
      <c r="KWZ166" s="22"/>
      <c r="KXA166" s="22"/>
      <c r="KXB166" s="22"/>
      <c r="KXC166" s="22"/>
      <c r="KXD166" s="22"/>
      <c r="KXE166" s="22"/>
      <c r="KXF166" s="22"/>
      <c r="KXG166" s="22"/>
      <c r="KXH166" s="22"/>
      <c r="KXI166" s="22"/>
      <c r="KXJ166" s="22"/>
      <c r="KXK166" s="22"/>
      <c r="KXL166" s="22"/>
      <c r="KXM166" s="22"/>
      <c r="KXN166" s="22"/>
      <c r="KXO166" s="22"/>
      <c r="KXP166" s="22"/>
      <c r="KXQ166" s="22"/>
      <c r="KXR166" s="22"/>
      <c r="KXS166" s="22"/>
      <c r="KXT166" s="22"/>
      <c r="KXU166" s="22"/>
      <c r="KXV166" s="22"/>
      <c r="KXW166" s="22"/>
      <c r="KXX166" s="22"/>
      <c r="KXY166" s="22"/>
      <c r="KXZ166" s="22"/>
      <c r="KYA166" s="22"/>
      <c r="KYB166" s="22"/>
      <c r="KYC166" s="22"/>
      <c r="KYD166" s="22"/>
      <c r="KYE166" s="22"/>
      <c r="KYF166" s="22"/>
      <c r="KYG166" s="22"/>
      <c r="KYH166" s="22"/>
      <c r="KYI166" s="22"/>
      <c r="KYJ166" s="22"/>
      <c r="KYK166" s="22"/>
      <c r="KYL166" s="22"/>
      <c r="KYM166" s="22"/>
      <c r="KYN166" s="22"/>
      <c r="KYO166" s="22"/>
      <c r="KYP166" s="22"/>
      <c r="KYQ166" s="22"/>
      <c r="KYR166" s="22"/>
      <c r="KYS166" s="22"/>
      <c r="KYT166" s="22"/>
      <c r="KYU166" s="22"/>
      <c r="KYV166" s="22"/>
      <c r="KYW166" s="22"/>
      <c r="KYX166" s="22"/>
      <c r="KYY166" s="22"/>
      <c r="KYZ166" s="22"/>
      <c r="KZA166" s="22"/>
      <c r="KZB166" s="22"/>
      <c r="KZC166" s="22"/>
      <c r="KZD166" s="22"/>
      <c r="KZE166" s="22"/>
      <c r="KZF166" s="22"/>
      <c r="KZG166" s="22"/>
      <c r="KZH166" s="22"/>
      <c r="KZI166" s="22"/>
      <c r="KZJ166" s="22"/>
      <c r="KZK166" s="22"/>
      <c r="KZL166" s="22"/>
      <c r="KZM166" s="22"/>
      <c r="KZN166" s="22"/>
      <c r="KZO166" s="22"/>
      <c r="KZP166" s="22"/>
      <c r="KZQ166" s="22"/>
      <c r="KZR166" s="22"/>
      <c r="KZS166" s="22"/>
      <c r="KZT166" s="22"/>
      <c r="KZU166" s="22"/>
      <c r="KZV166" s="22"/>
      <c r="KZW166" s="22"/>
      <c r="KZX166" s="22"/>
      <c r="KZY166" s="22"/>
      <c r="KZZ166" s="22"/>
      <c r="LAA166" s="22"/>
      <c r="LAB166" s="22"/>
      <c r="LAC166" s="22"/>
      <c r="LAD166" s="22"/>
      <c r="LAE166" s="22"/>
      <c r="LAF166" s="22"/>
      <c r="LAG166" s="22"/>
      <c r="LAH166" s="22"/>
      <c r="LAI166" s="22"/>
      <c r="LAJ166" s="22"/>
      <c r="LAK166" s="22"/>
      <c r="LAL166" s="22"/>
      <c r="LAM166" s="22"/>
      <c r="LAN166" s="22"/>
      <c r="LAO166" s="22"/>
      <c r="LAP166" s="22"/>
      <c r="LAQ166" s="22"/>
      <c r="LAR166" s="22"/>
      <c r="LAS166" s="22"/>
      <c r="LAT166" s="22"/>
      <c r="LAU166" s="22"/>
      <c r="LAV166" s="22"/>
      <c r="LAW166" s="22"/>
      <c r="LAX166" s="22"/>
      <c r="LAY166" s="22"/>
      <c r="LAZ166" s="22"/>
      <c r="LBA166" s="22"/>
      <c r="LBB166" s="22"/>
      <c r="LBC166" s="22"/>
      <c r="LBD166" s="22"/>
      <c r="LBE166" s="22"/>
      <c r="LBF166" s="22"/>
      <c r="LBG166" s="22"/>
      <c r="LBH166" s="22"/>
      <c r="LBI166" s="22"/>
      <c r="LBJ166" s="22"/>
      <c r="LBK166" s="22"/>
      <c r="LBL166" s="22"/>
      <c r="LBM166" s="22"/>
      <c r="LBN166" s="22"/>
      <c r="LBO166" s="22"/>
      <c r="LBP166" s="22"/>
      <c r="LBQ166" s="22"/>
      <c r="LBR166" s="22"/>
      <c r="LBS166" s="22"/>
      <c r="LBT166" s="22"/>
      <c r="LBU166" s="22"/>
      <c r="LBV166" s="22"/>
      <c r="LBW166" s="22"/>
      <c r="LBX166" s="22"/>
      <c r="LBY166" s="22"/>
      <c r="LBZ166" s="22"/>
      <c r="LCA166" s="22"/>
      <c r="LCB166" s="22"/>
      <c r="LCC166" s="22"/>
      <c r="LCD166" s="22"/>
      <c r="LCE166" s="22"/>
      <c r="LCF166" s="22"/>
      <c r="LCG166" s="22"/>
      <c r="LCH166" s="22"/>
      <c r="LCI166" s="22"/>
      <c r="LCJ166" s="22"/>
      <c r="LCK166" s="22"/>
      <c r="LCL166" s="22"/>
      <c r="LCM166" s="22"/>
      <c r="LCN166" s="22"/>
      <c r="LCO166" s="22"/>
      <c r="LCP166" s="22"/>
      <c r="LCQ166" s="22"/>
      <c r="LCR166" s="22"/>
      <c r="LCS166" s="22"/>
      <c r="LCT166" s="22"/>
      <c r="LCU166" s="22"/>
      <c r="LCV166" s="22"/>
      <c r="LCW166" s="22"/>
      <c r="LCX166" s="22"/>
      <c r="LCY166" s="22"/>
      <c r="LCZ166" s="22"/>
      <c r="LDA166" s="22"/>
      <c r="LDB166" s="22"/>
      <c r="LDC166" s="22"/>
      <c r="LDD166" s="22"/>
      <c r="LDE166" s="22"/>
      <c r="LDF166" s="22"/>
      <c r="LDG166" s="22"/>
      <c r="LDH166" s="22"/>
      <c r="LDI166" s="22"/>
      <c r="LDJ166" s="22"/>
      <c r="LDK166" s="22"/>
      <c r="LDL166" s="22"/>
      <c r="LDM166" s="22"/>
      <c r="LDN166" s="22"/>
      <c r="LDO166" s="22"/>
      <c r="LDP166" s="22"/>
      <c r="LDQ166" s="22"/>
      <c r="LDR166" s="22"/>
      <c r="LDS166" s="22"/>
      <c r="LDT166" s="22"/>
      <c r="LDU166" s="22"/>
      <c r="LDV166" s="22"/>
      <c r="LDW166" s="22"/>
      <c r="LDX166" s="22"/>
      <c r="LDY166" s="22"/>
      <c r="LDZ166" s="22"/>
      <c r="LEA166" s="22"/>
      <c r="LEB166" s="22"/>
      <c r="LEC166" s="22"/>
      <c r="LED166" s="22"/>
      <c r="LEE166" s="22"/>
      <c r="LEF166" s="22"/>
      <c r="LEG166" s="22"/>
      <c r="LEH166" s="22"/>
      <c r="LEI166" s="22"/>
      <c r="LEJ166" s="22"/>
      <c r="LEK166" s="22"/>
      <c r="LEL166" s="22"/>
      <c r="LEM166" s="22"/>
      <c r="LEN166" s="22"/>
      <c r="LEO166" s="22"/>
      <c r="LEP166" s="22"/>
      <c r="LEQ166" s="22"/>
      <c r="LER166" s="22"/>
      <c r="LES166" s="22"/>
      <c r="LET166" s="22"/>
      <c r="LEU166" s="22"/>
      <c r="LEV166" s="22"/>
      <c r="LEW166" s="22"/>
      <c r="LEX166" s="22"/>
      <c r="LEY166" s="22"/>
      <c r="LEZ166" s="22"/>
      <c r="LFA166" s="22"/>
      <c r="LFB166" s="22"/>
      <c r="LFC166" s="22"/>
      <c r="LFD166" s="22"/>
      <c r="LFE166" s="22"/>
      <c r="LFF166" s="22"/>
      <c r="LFG166" s="22"/>
      <c r="LFH166" s="22"/>
      <c r="LFI166" s="22"/>
      <c r="LFJ166" s="22"/>
      <c r="LFK166" s="22"/>
      <c r="LFL166" s="22"/>
      <c r="LFM166" s="22"/>
      <c r="LFN166" s="22"/>
      <c r="LFO166" s="22"/>
      <c r="LFP166" s="22"/>
      <c r="LFQ166" s="22"/>
      <c r="LFR166" s="22"/>
      <c r="LFS166" s="22"/>
      <c r="LFT166" s="22"/>
      <c r="LFU166" s="22"/>
      <c r="LFV166" s="22"/>
      <c r="LFW166" s="22"/>
      <c r="LFX166" s="22"/>
      <c r="LFY166" s="22"/>
      <c r="LFZ166" s="22"/>
      <c r="LGA166" s="22"/>
      <c r="LGB166" s="22"/>
      <c r="LGC166" s="22"/>
      <c r="LGD166" s="22"/>
      <c r="LGE166" s="22"/>
      <c r="LGF166" s="22"/>
      <c r="LGG166" s="22"/>
      <c r="LGH166" s="22"/>
      <c r="LGI166" s="22"/>
      <c r="LGJ166" s="22"/>
      <c r="LGK166" s="22"/>
      <c r="LGL166" s="22"/>
      <c r="LGM166" s="22"/>
      <c r="LGN166" s="22"/>
      <c r="LGO166" s="22"/>
      <c r="LGP166" s="22"/>
      <c r="LGQ166" s="22"/>
      <c r="LGR166" s="22"/>
      <c r="LGS166" s="22"/>
      <c r="LGT166" s="22"/>
      <c r="LGU166" s="22"/>
      <c r="LGV166" s="22"/>
      <c r="LGW166" s="22"/>
      <c r="LGX166" s="22"/>
      <c r="LGY166" s="22"/>
      <c r="LGZ166" s="22"/>
      <c r="LHA166" s="22"/>
      <c r="LHB166" s="22"/>
      <c r="LHC166" s="22"/>
      <c r="LHD166" s="22"/>
      <c r="LHE166" s="22"/>
      <c r="LHF166" s="22"/>
      <c r="LHG166" s="22"/>
      <c r="LHH166" s="22"/>
      <c r="LHI166" s="22"/>
      <c r="LHJ166" s="22"/>
      <c r="LHK166" s="22"/>
      <c r="LHL166" s="22"/>
      <c r="LHM166" s="22"/>
      <c r="LHN166" s="22"/>
      <c r="LHO166" s="22"/>
      <c r="LHP166" s="22"/>
      <c r="LHQ166" s="22"/>
      <c r="LHR166" s="22"/>
      <c r="LHS166" s="22"/>
      <c r="LHT166" s="22"/>
      <c r="LHU166" s="22"/>
      <c r="LHV166" s="22"/>
      <c r="LHW166" s="22"/>
      <c r="LHX166" s="22"/>
      <c r="LHY166" s="22"/>
      <c r="LHZ166" s="22"/>
      <c r="LIA166" s="22"/>
      <c r="LIB166" s="22"/>
      <c r="LIC166" s="22"/>
      <c r="LID166" s="22"/>
      <c r="LIE166" s="22"/>
      <c r="LIF166" s="22"/>
      <c r="LIG166" s="22"/>
      <c r="LIH166" s="22"/>
      <c r="LII166" s="22"/>
      <c r="LIJ166" s="22"/>
      <c r="LIK166" s="22"/>
      <c r="LIL166" s="22"/>
      <c r="LIM166" s="22"/>
      <c r="LIN166" s="22"/>
      <c r="LIO166" s="22"/>
      <c r="LIP166" s="22"/>
      <c r="LIQ166" s="22"/>
      <c r="LIR166" s="22"/>
      <c r="LIS166" s="22"/>
      <c r="LIT166" s="22"/>
      <c r="LIU166" s="22"/>
      <c r="LIV166" s="22"/>
      <c r="LIW166" s="22"/>
      <c r="LIX166" s="22"/>
      <c r="LIY166" s="22"/>
      <c r="LIZ166" s="22"/>
      <c r="LJA166" s="22"/>
      <c r="LJB166" s="22"/>
      <c r="LJC166" s="22"/>
      <c r="LJD166" s="22"/>
      <c r="LJE166" s="22"/>
      <c r="LJF166" s="22"/>
      <c r="LJG166" s="22"/>
      <c r="LJH166" s="22"/>
      <c r="LJI166" s="22"/>
      <c r="LJJ166" s="22"/>
      <c r="LJK166" s="22"/>
      <c r="LJL166" s="22"/>
      <c r="LJM166" s="22"/>
      <c r="LJN166" s="22"/>
      <c r="LJO166" s="22"/>
      <c r="LJP166" s="22"/>
      <c r="LJQ166" s="22"/>
      <c r="LJR166" s="22"/>
      <c r="LJS166" s="22"/>
      <c r="LJT166" s="22"/>
      <c r="LJU166" s="22"/>
      <c r="LJV166" s="22"/>
      <c r="LJW166" s="22"/>
      <c r="LJX166" s="22"/>
      <c r="LJY166" s="22"/>
      <c r="LJZ166" s="22"/>
      <c r="LKA166" s="22"/>
      <c r="LKB166" s="22"/>
      <c r="LKC166" s="22"/>
      <c r="LKD166" s="22"/>
      <c r="LKE166" s="22"/>
      <c r="LKF166" s="22"/>
      <c r="LKG166" s="22"/>
      <c r="LKH166" s="22"/>
      <c r="LKI166" s="22"/>
      <c r="LKJ166" s="22"/>
      <c r="LKK166" s="22"/>
      <c r="LKL166" s="22"/>
      <c r="LKM166" s="22"/>
      <c r="LKN166" s="22"/>
      <c r="LKO166" s="22"/>
      <c r="LKP166" s="22"/>
      <c r="LKQ166" s="22"/>
      <c r="LKR166" s="22"/>
      <c r="LKS166" s="22"/>
      <c r="LKT166" s="22"/>
      <c r="LKU166" s="22"/>
      <c r="LKV166" s="22"/>
      <c r="LKW166" s="22"/>
      <c r="LKX166" s="22"/>
      <c r="LKY166" s="22"/>
      <c r="LKZ166" s="22"/>
      <c r="LLA166" s="22"/>
      <c r="LLB166" s="22"/>
      <c r="LLC166" s="22"/>
      <c r="LLD166" s="22"/>
      <c r="LLE166" s="22"/>
      <c r="LLF166" s="22"/>
      <c r="LLG166" s="22"/>
      <c r="LLH166" s="22"/>
      <c r="LLI166" s="22"/>
      <c r="LLJ166" s="22"/>
      <c r="LLK166" s="22"/>
      <c r="LLL166" s="22"/>
      <c r="LLM166" s="22"/>
      <c r="LLN166" s="22"/>
      <c r="LLO166" s="22"/>
      <c r="LLP166" s="22"/>
      <c r="LLQ166" s="22"/>
      <c r="LLR166" s="22"/>
      <c r="LLS166" s="22"/>
      <c r="LLT166" s="22"/>
      <c r="LLU166" s="22"/>
      <c r="LLV166" s="22"/>
      <c r="LLW166" s="22"/>
      <c r="LLX166" s="22"/>
      <c r="LLY166" s="22"/>
      <c r="LLZ166" s="22"/>
      <c r="LMA166" s="22"/>
      <c r="LMB166" s="22"/>
      <c r="LMC166" s="22"/>
      <c r="LMD166" s="22"/>
      <c r="LME166" s="22"/>
      <c r="LMF166" s="22"/>
      <c r="LMG166" s="22"/>
      <c r="LMH166" s="22"/>
      <c r="LMI166" s="22"/>
      <c r="LMJ166" s="22"/>
      <c r="LMK166" s="22"/>
      <c r="LML166" s="22"/>
      <c r="LMM166" s="22"/>
      <c r="LMN166" s="22"/>
      <c r="LMO166" s="22"/>
      <c r="LMP166" s="22"/>
      <c r="LMQ166" s="22"/>
      <c r="LMR166" s="22"/>
      <c r="LMS166" s="22"/>
      <c r="LMT166" s="22"/>
      <c r="LMU166" s="22"/>
      <c r="LMV166" s="22"/>
      <c r="LMW166" s="22"/>
      <c r="LMX166" s="22"/>
      <c r="LMY166" s="22"/>
      <c r="LMZ166" s="22"/>
      <c r="LNA166" s="22"/>
      <c r="LNB166" s="22"/>
      <c r="LNC166" s="22"/>
      <c r="LND166" s="22"/>
      <c r="LNE166" s="22"/>
      <c r="LNF166" s="22"/>
      <c r="LNG166" s="22"/>
      <c r="LNH166" s="22"/>
      <c r="LNI166" s="22"/>
      <c r="LNJ166" s="22"/>
      <c r="LNK166" s="22"/>
      <c r="LNL166" s="22"/>
      <c r="LNM166" s="22"/>
      <c r="LNN166" s="22"/>
      <c r="LNO166" s="22"/>
      <c r="LNP166" s="22"/>
      <c r="LNQ166" s="22"/>
      <c r="LNR166" s="22"/>
      <c r="LNS166" s="22"/>
      <c r="LNT166" s="22"/>
      <c r="LNU166" s="22"/>
      <c r="LNV166" s="22"/>
      <c r="LNW166" s="22"/>
      <c r="LNX166" s="22"/>
      <c r="LNY166" s="22"/>
      <c r="LNZ166" s="22"/>
      <c r="LOA166" s="22"/>
      <c r="LOB166" s="22"/>
      <c r="LOC166" s="22"/>
      <c r="LOD166" s="22"/>
      <c r="LOE166" s="22"/>
      <c r="LOF166" s="22"/>
      <c r="LOG166" s="22"/>
      <c r="LOH166" s="22"/>
      <c r="LOI166" s="22"/>
      <c r="LOJ166" s="22"/>
      <c r="LOK166" s="22"/>
      <c r="LOL166" s="22"/>
      <c r="LOM166" s="22"/>
      <c r="LON166" s="22"/>
      <c r="LOO166" s="22"/>
      <c r="LOP166" s="22"/>
      <c r="LOQ166" s="22"/>
      <c r="LOR166" s="22"/>
      <c r="LOS166" s="22"/>
      <c r="LOT166" s="22"/>
      <c r="LOU166" s="22"/>
      <c r="LOV166" s="22"/>
      <c r="LOW166" s="22"/>
      <c r="LOX166" s="22"/>
      <c r="LOY166" s="22"/>
      <c r="LOZ166" s="22"/>
      <c r="LPA166" s="22"/>
      <c r="LPB166" s="22"/>
      <c r="LPC166" s="22"/>
      <c r="LPD166" s="22"/>
      <c r="LPE166" s="22"/>
      <c r="LPF166" s="22"/>
      <c r="LPG166" s="22"/>
      <c r="LPH166" s="22"/>
      <c r="LPI166" s="22"/>
      <c r="LPJ166" s="22"/>
      <c r="LPK166" s="22"/>
      <c r="LPL166" s="22"/>
      <c r="LPM166" s="22"/>
      <c r="LPN166" s="22"/>
      <c r="LPO166" s="22"/>
      <c r="LPP166" s="22"/>
      <c r="LPQ166" s="22"/>
      <c r="LPR166" s="22"/>
      <c r="LPS166" s="22"/>
      <c r="LPT166" s="22"/>
      <c r="LPU166" s="22"/>
      <c r="LPV166" s="22"/>
      <c r="LPW166" s="22"/>
      <c r="LPX166" s="22"/>
      <c r="LPY166" s="22"/>
      <c r="LPZ166" s="22"/>
      <c r="LQA166" s="22"/>
      <c r="LQB166" s="22"/>
      <c r="LQC166" s="22"/>
      <c r="LQD166" s="22"/>
      <c r="LQE166" s="22"/>
      <c r="LQF166" s="22"/>
      <c r="LQG166" s="22"/>
      <c r="LQH166" s="22"/>
      <c r="LQI166" s="22"/>
      <c r="LQJ166" s="22"/>
      <c r="LQK166" s="22"/>
      <c r="LQL166" s="22"/>
      <c r="LQM166" s="22"/>
      <c r="LQN166" s="22"/>
      <c r="LQO166" s="22"/>
      <c r="LQP166" s="22"/>
      <c r="LQQ166" s="22"/>
      <c r="LQR166" s="22"/>
      <c r="LQS166" s="22"/>
      <c r="LQT166" s="22"/>
      <c r="LQU166" s="22"/>
      <c r="LQV166" s="22"/>
      <c r="LQW166" s="22"/>
      <c r="LQX166" s="22"/>
      <c r="LQY166" s="22"/>
      <c r="LQZ166" s="22"/>
      <c r="LRA166" s="22"/>
      <c r="LRB166" s="22"/>
      <c r="LRC166" s="22"/>
      <c r="LRD166" s="22"/>
      <c r="LRE166" s="22"/>
      <c r="LRF166" s="22"/>
      <c r="LRG166" s="22"/>
      <c r="LRH166" s="22"/>
      <c r="LRI166" s="22"/>
      <c r="LRJ166" s="22"/>
      <c r="LRK166" s="22"/>
      <c r="LRL166" s="22"/>
      <c r="LRM166" s="22"/>
      <c r="LRN166" s="22"/>
      <c r="LRO166" s="22"/>
      <c r="LRP166" s="22"/>
      <c r="LRQ166" s="22"/>
      <c r="LRR166" s="22"/>
      <c r="LRS166" s="22"/>
      <c r="LRT166" s="22"/>
      <c r="LRU166" s="22"/>
      <c r="LRV166" s="22"/>
      <c r="LRW166" s="22"/>
      <c r="LRX166" s="22"/>
      <c r="LRY166" s="22"/>
      <c r="LRZ166" s="22"/>
      <c r="LSA166" s="22"/>
      <c r="LSB166" s="22"/>
      <c r="LSC166" s="22"/>
      <c r="LSD166" s="22"/>
      <c r="LSE166" s="22"/>
      <c r="LSF166" s="22"/>
      <c r="LSG166" s="22"/>
      <c r="LSH166" s="22"/>
      <c r="LSI166" s="22"/>
      <c r="LSJ166" s="22"/>
      <c r="LSK166" s="22"/>
      <c r="LSL166" s="22"/>
      <c r="LSM166" s="22"/>
      <c r="LSN166" s="22"/>
      <c r="LSO166" s="22"/>
      <c r="LSP166" s="22"/>
      <c r="LSQ166" s="22"/>
      <c r="LSR166" s="22"/>
      <c r="LSS166" s="22"/>
      <c r="LST166" s="22"/>
      <c r="LSU166" s="22"/>
      <c r="LSV166" s="22"/>
      <c r="LSW166" s="22"/>
      <c r="LSX166" s="22"/>
      <c r="LSY166" s="22"/>
      <c r="LSZ166" s="22"/>
      <c r="LTA166" s="22"/>
      <c r="LTB166" s="22"/>
      <c r="LTC166" s="22"/>
      <c r="LTD166" s="22"/>
      <c r="LTE166" s="22"/>
      <c r="LTF166" s="22"/>
      <c r="LTG166" s="22"/>
      <c r="LTH166" s="22"/>
      <c r="LTI166" s="22"/>
      <c r="LTJ166" s="22"/>
      <c r="LTK166" s="22"/>
      <c r="LTL166" s="22"/>
      <c r="LTM166" s="22"/>
      <c r="LTN166" s="22"/>
      <c r="LTO166" s="22"/>
      <c r="LTP166" s="22"/>
      <c r="LTQ166" s="22"/>
      <c r="LTR166" s="22"/>
      <c r="LTS166" s="22"/>
      <c r="LTT166" s="22"/>
      <c r="LTU166" s="22"/>
      <c r="LTV166" s="22"/>
      <c r="LTW166" s="22"/>
      <c r="LTX166" s="22"/>
      <c r="LTY166" s="22"/>
      <c r="LTZ166" s="22"/>
      <c r="LUA166" s="22"/>
      <c r="LUB166" s="22"/>
      <c r="LUC166" s="22"/>
      <c r="LUD166" s="22"/>
      <c r="LUE166" s="22"/>
      <c r="LUF166" s="22"/>
      <c r="LUG166" s="22"/>
      <c r="LUH166" s="22"/>
      <c r="LUI166" s="22"/>
      <c r="LUJ166" s="22"/>
      <c r="LUK166" s="22"/>
      <c r="LUL166" s="22"/>
      <c r="LUM166" s="22"/>
      <c r="LUN166" s="22"/>
      <c r="LUO166" s="22"/>
      <c r="LUP166" s="22"/>
      <c r="LUQ166" s="22"/>
      <c r="LUR166" s="22"/>
      <c r="LUS166" s="22"/>
      <c r="LUT166" s="22"/>
      <c r="LUU166" s="22"/>
      <c r="LUV166" s="22"/>
      <c r="LUW166" s="22"/>
      <c r="LUX166" s="22"/>
      <c r="LUY166" s="22"/>
      <c r="LUZ166" s="22"/>
      <c r="LVA166" s="22"/>
      <c r="LVB166" s="22"/>
      <c r="LVC166" s="22"/>
      <c r="LVD166" s="22"/>
      <c r="LVE166" s="22"/>
      <c r="LVF166" s="22"/>
      <c r="LVG166" s="22"/>
      <c r="LVH166" s="22"/>
      <c r="LVI166" s="22"/>
      <c r="LVJ166" s="22"/>
      <c r="LVK166" s="22"/>
      <c r="LVL166" s="22"/>
      <c r="LVM166" s="22"/>
      <c r="LVN166" s="22"/>
      <c r="LVO166" s="22"/>
      <c r="LVP166" s="22"/>
      <c r="LVQ166" s="22"/>
      <c r="LVR166" s="22"/>
      <c r="LVS166" s="22"/>
      <c r="LVT166" s="22"/>
      <c r="LVU166" s="22"/>
      <c r="LVV166" s="22"/>
      <c r="LVW166" s="22"/>
      <c r="LVX166" s="22"/>
      <c r="LVY166" s="22"/>
      <c r="LVZ166" s="22"/>
      <c r="LWA166" s="22"/>
      <c r="LWB166" s="22"/>
      <c r="LWC166" s="22"/>
      <c r="LWD166" s="22"/>
      <c r="LWE166" s="22"/>
      <c r="LWF166" s="22"/>
      <c r="LWG166" s="22"/>
      <c r="LWH166" s="22"/>
      <c r="LWI166" s="22"/>
      <c r="LWJ166" s="22"/>
      <c r="LWK166" s="22"/>
      <c r="LWL166" s="22"/>
      <c r="LWM166" s="22"/>
      <c r="LWN166" s="22"/>
      <c r="LWO166" s="22"/>
      <c r="LWP166" s="22"/>
      <c r="LWQ166" s="22"/>
      <c r="LWR166" s="22"/>
      <c r="LWS166" s="22"/>
      <c r="LWT166" s="22"/>
      <c r="LWU166" s="22"/>
      <c r="LWV166" s="22"/>
      <c r="LWW166" s="22"/>
      <c r="LWX166" s="22"/>
      <c r="LWY166" s="22"/>
      <c r="LWZ166" s="22"/>
      <c r="LXA166" s="22"/>
      <c r="LXB166" s="22"/>
      <c r="LXC166" s="22"/>
      <c r="LXD166" s="22"/>
      <c r="LXE166" s="22"/>
      <c r="LXF166" s="22"/>
      <c r="LXG166" s="22"/>
      <c r="LXH166" s="22"/>
      <c r="LXI166" s="22"/>
      <c r="LXJ166" s="22"/>
      <c r="LXK166" s="22"/>
      <c r="LXL166" s="22"/>
      <c r="LXM166" s="22"/>
      <c r="LXN166" s="22"/>
      <c r="LXO166" s="22"/>
      <c r="LXP166" s="22"/>
      <c r="LXQ166" s="22"/>
      <c r="LXR166" s="22"/>
      <c r="LXS166" s="22"/>
      <c r="LXT166" s="22"/>
      <c r="LXU166" s="22"/>
      <c r="LXV166" s="22"/>
      <c r="LXW166" s="22"/>
      <c r="LXX166" s="22"/>
      <c r="LXY166" s="22"/>
      <c r="LXZ166" s="22"/>
      <c r="LYA166" s="22"/>
      <c r="LYB166" s="22"/>
      <c r="LYC166" s="22"/>
      <c r="LYD166" s="22"/>
      <c r="LYE166" s="22"/>
      <c r="LYF166" s="22"/>
      <c r="LYG166" s="22"/>
      <c r="LYH166" s="22"/>
      <c r="LYI166" s="22"/>
      <c r="LYJ166" s="22"/>
      <c r="LYK166" s="22"/>
      <c r="LYL166" s="22"/>
      <c r="LYM166" s="22"/>
      <c r="LYN166" s="22"/>
      <c r="LYO166" s="22"/>
      <c r="LYP166" s="22"/>
      <c r="LYQ166" s="22"/>
      <c r="LYR166" s="22"/>
      <c r="LYS166" s="22"/>
      <c r="LYT166" s="22"/>
      <c r="LYU166" s="22"/>
      <c r="LYV166" s="22"/>
      <c r="LYW166" s="22"/>
      <c r="LYX166" s="22"/>
      <c r="LYY166" s="22"/>
      <c r="LYZ166" s="22"/>
      <c r="LZA166" s="22"/>
      <c r="LZB166" s="22"/>
      <c r="LZC166" s="22"/>
      <c r="LZD166" s="22"/>
      <c r="LZE166" s="22"/>
      <c r="LZF166" s="22"/>
      <c r="LZG166" s="22"/>
      <c r="LZH166" s="22"/>
      <c r="LZI166" s="22"/>
      <c r="LZJ166" s="22"/>
      <c r="LZK166" s="22"/>
      <c r="LZL166" s="22"/>
      <c r="LZM166" s="22"/>
      <c r="LZN166" s="22"/>
      <c r="LZO166" s="22"/>
      <c r="LZP166" s="22"/>
      <c r="LZQ166" s="22"/>
      <c r="LZR166" s="22"/>
      <c r="LZS166" s="22"/>
      <c r="LZT166" s="22"/>
      <c r="LZU166" s="22"/>
      <c r="LZV166" s="22"/>
      <c r="LZW166" s="22"/>
      <c r="LZX166" s="22"/>
      <c r="LZY166" s="22"/>
      <c r="LZZ166" s="22"/>
      <c r="MAA166" s="22"/>
      <c r="MAB166" s="22"/>
      <c r="MAC166" s="22"/>
      <c r="MAD166" s="22"/>
      <c r="MAE166" s="22"/>
      <c r="MAF166" s="22"/>
      <c r="MAG166" s="22"/>
      <c r="MAH166" s="22"/>
      <c r="MAI166" s="22"/>
      <c r="MAJ166" s="22"/>
      <c r="MAK166" s="22"/>
      <c r="MAL166" s="22"/>
      <c r="MAM166" s="22"/>
      <c r="MAN166" s="22"/>
      <c r="MAO166" s="22"/>
      <c r="MAP166" s="22"/>
      <c r="MAQ166" s="22"/>
      <c r="MAR166" s="22"/>
      <c r="MAS166" s="22"/>
      <c r="MAT166" s="22"/>
      <c r="MAU166" s="22"/>
      <c r="MAV166" s="22"/>
      <c r="MAW166" s="22"/>
      <c r="MAX166" s="22"/>
      <c r="MAY166" s="22"/>
      <c r="MAZ166" s="22"/>
      <c r="MBA166" s="22"/>
      <c r="MBB166" s="22"/>
      <c r="MBC166" s="22"/>
      <c r="MBD166" s="22"/>
      <c r="MBE166" s="22"/>
      <c r="MBF166" s="22"/>
      <c r="MBG166" s="22"/>
      <c r="MBH166" s="22"/>
      <c r="MBI166" s="22"/>
      <c r="MBJ166" s="22"/>
      <c r="MBK166" s="22"/>
      <c r="MBL166" s="22"/>
      <c r="MBM166" s="22"/>
      <c r="MBN166" s="22"/>
      <c r="MBO166" s="22"/>
      <c r="MBP166" s="22"/>
      <c r="MBQ166" s="22"/>
      <c r="MBR166" s="22"/>
      <c r="MBS166" s="22"/>
      <c r="MBT166" s="22"/>
      <c r="MBU166" s="22"/>
      <c r="MBV166" s="22"/>
      <c r="MBW166" s="22"/>
      <c r="MBX166" s="22"/>
      <c r="MBY166" s="22"/>
      <c r="MBZ166" s="22"/>
      <c r="MCA166" s="22"/>
      <c r="MCB166" s="22"/>
      <c r="MCC166" s="22"/>
      <c r="MCD166" s="22"/>
      <c r="MCE166" s="22"/>
      <c r="MCF166" s="22"/>
      <c r="MCG166" s="22"/>
      <c r="MCH166" s="22"/>
      <c r="MCI166" s="22"/>
      <c r="MCJ166" s="22"/>
      <c r="MCK166" s="22"/>
      <c r="MCL166" s="22"/>
      <c r="MCM166" s="22"/>
      <c r="MCN166" s="22"/>
      <c r="MCO166" s="22"/>
      <c r="MCP166" s="22"/>
      <c r="MCQ166" s="22"/>
      <c r="MCR166" s="22"/>
      <c r="MCS166" s="22"/>
      <c r="MCT166" s="22"/>
      <c r="MCU166" s="22"/>
      <c r="MCV166" s="22"/>
      <c r="MCW166" s="22"/>
      <c r="MCX166" s="22"/>
      <c r="MCY166" s="22"/>
      <c r="MCZ166" s="22"/>
      <c r="MDA166" s="22"/>
      <c r="MDB166" s="22"/>
      <c r="MDC166" s="22"/>
      <c r="MDD166" s="22"/>
      <c r="MDE166" s="22"/>
      <c r="MDF166" s="22"/>
      <c r="MDG166" s="22"/>
      <c r="MDH166" s="22"/>
      <c r="MDI166" s="22"/>
      <c r="MDJ166" s="22"/>
      <c r="MDK166" s="22"/>
      <c r="MDL166" s="22"/>
      <c r="MDM166" s="22"/>
      <c r="MDN166" s="22"/>
      <c r="MDO166" s="22"/>
      <c r="MDP166" s="22"/>
      <c r="MDQ166" s="22"/>
      <c r="MDR166" s="22"/>
      <c r="MDS166" s="22"/>
      <c r="MDT166" s="22"/>
      <c r="MDU166" s="22"/>
      <c r="MDV166" s="22"/>
      <c r="MDW166" s="22"/>
      <c r="MDX166" s="22"/>
      <c r="MDY166" s="22"/>
      <c r="MDZ166" s="22"/>
      <c r="MEA166" s="22"/>
      <c r="MEB166" s="22"/>
      <c r="MEC166" s="22"/>
      <c r="MED166" s="22"/>
      <c r="MEE166" s="22"/>
      <c r="MEF166" s="22"/>
      <c r="MEG166" s="22"/>
      <c r="MEH166" s="22"/>
      <c r="MEI166" s="22"/>
      <c r="MEJ166" s="22"/>
      <c r="MEK166" s="22"/>
      <c r="MEL166" s="22"/>
      <c r="MEM166" s="22"/>
      <c r="MEN166" s="22"/>
      <c r="MEO166" s="22"/>
      <c r="MEP166" s="22"/>
      <c r="MEQ166" s="22"/>
      <c r="MER166" s="22"/>
      <c r="MES166" s="22"/>
      <c r="MET166" s="22"/>
      <c r="MEU166" s="22"/>
      <c r="MEV166" s="22"/>
      <c r="MEW166" s="22"/>
      <c r="MEX166" s="22"/>
      <c r="MEY166" s="22"/>
      <c r="MEZ166" s="22"/>
      <c r="MFA166" s="22"/>
      <c r="MFB166" s="22"/>
      <c r="MFC166" s="22"/>
      <c r="MFD166" s="22"/>
      <c r="MFE166" s="22"/>
      <c r="MFF166" s="22"/>
      <c r="MFG166" s="22"/>
      <c r="MFH166" s="22"/>
      <c r="MFI166" s="22"/>
      <c r="MFJ166" s="22"/>
      <c r="MFK166" s="22"/>
      <c r="MFL166" s="22"/>
      <c r="MFM166" s="22"/>
      <c r="MFN166" s="22"/>
      <c r="MFO166" s="22"/>
      <c r="MFP166" s="22"/>
      <c r="MFQ166" s="22"/>
      <c r="MFR166" s="22"/>
      <c r="MFS166" s="22"/>
      <c r="MFT166" s="22"/>
      <c r="MFU166" s="22"/>
      <c r="MFV166" s="22"/>
      <c r="MFW166" s="22"/>
      <c r="MFX166" s="22"/>
      <c r="MFY166" s="22"/>
      <c r="MFZ166" s="22"/>
      <c r="MGA166" s="22"/>
      <c r="MGB166" s="22"/>
      <c r="MGC166" s="22"/>
      <c r="MGD166" s="22"/>
      <c r="MGE166" s="22"/>
      <c r="MGF166" s="22"/>
      <c r="MGG166" s="22"/>
      <c r="MGH166" s="22"/>
      <c r="MGI166" s="22"/>
      <c r="MGJ166" s="22"/>
      <c r="MGK166" s="22"/>
      <c r="MGL166" s="22"/>
      <c r="MGM166" s="22"/>
      <c r="MGN166" s="22"/>
      <c r="MGO166" s="22"/>
      <c r="MGP166" s="22"/>
      <c r="MGQ166" s="22"/>
      <c r="MGR166" s="22"/>
      <c r="MGS166" s="22"/>
      <c r="MGT166" s="22"/>
      <c r="MGU166" s="22"/>
      <c r="MGV166" s="22"/>
      <c r="MGW166" s="22"/>
      <c r="MGX166" s="22"/>
      <c r="MGY166" s="22"/>
      <c r="MGZ166" s="22"/>
      <c r="MHA166" s="22"/>
      <c r="MHB166" s="22"/>
      <c r="MHC166" s="22"/>
      <c r="MHD166" s="22"/>
      <c r="MHE166" s="22"/>
      <c r="MHF166" s="22"/>
      <c r="MHG166" s="22"/>
      <c r="MHH166" s="22"/>
      <c r="MHI166" s="22"/>
      <c r="MHJ166" s="22"/>
      <c r="MHK166" s="22"/>
      <c r="MHL166" s="22"/>
      <c r="MHM166" s="22"/>
      <c r="MHN166" s="22"/>
      <c r="MHO166" s="22"/>
      <c r="MHP166" s="22"/>
      <c r="MHQ166" s="22"/>
      <c r="MHR166" s="22"/>
      <c r="MHS166" s="22"/>
      <c r="MHT166" s="22"/>
      <c r="MHU166" s="22"/>
      <c r="MHV166" s="22"/>
      <c r="MHW166" s="22"/>
      <c r="MHX166" s="22"/>
      <c r="MHY166" s="22"/>
      <c r="MHZ166" s="22"/>
      <c r="MIA166" s="22"/>
      <c r="MIB166" s="22"/>
      <c r="MIC166" s="22"/>
      <c r="MID166" s="22"/>
      <c r="MIE166" s="22"/>
      <c r="MIF166" s="22"/>
      <c r="MIG166" s="22"/>
      <c r="MIH166" s="22"/>
      <c r="MII166" s="22"/>
      <c r="MIJ166" s="22"/>
      <c r="MIK166" s="22"/>
      <c r="MIL166" s="22"/>
      <c r="MIM166" s="22"/>
      <c r="MIN166" s="22"/>
      <c r="MIO166" s="22"/>
      <c r="MIP166" s="22"/>
      <c r="MIQ166" s="22"/>
      <c r="MIR166" s="22"/>
      <c r="MIS166" s="22"/>
      <c r="MIT166" s="22"/>
      <c r="MIU166" s="22"/>
      <c r="MIV166" s="22"/>
      <c r="MIW166" s="22"/>
      <c r="MIX166" s="22"/>
      <c r="MIY166" s="22"/>
      <c r="MIZ166" s="22"/>
      <c r="MJA166" s="22"/>
      <c r="MJB166" s="22"/>
      <c r="MJC166" s="22"/>
      <c r="MJD166" s="22"/>
      <c r="MJE166" s="22"/>
      <c r="MJF166" s="22"/>
      <c r="MJG166" s="22"/>
      <c r="MJH166" s="22"/>
      <c r="MJI166" s="22"/>
      <c r="MJJ166" s="22"/>
      <c r="MJK166" s="22"/>
      <c r="MJL166" s="22"/>
      <c r="MJM166" s="22"/>
      <c r="MJN166" s="22"/>
      <c r="MJO166" s="22"/>
      <c r="MJP166" s="22"/>
      <c r="MJQ166" s="22"/>
      <c r="MJR166" s="22"/>
      <c r="MJS166" s="22"/>
      <c r="MJT166" s="22"/>
      <c r="MJU166" s="22"/>
      <c r="MJV166" s="22"/>
      <c r="MJW166" s="22"/>
      <c r="MJX166" s="22"/>
      <c r="MJY166" s="22"/>
      <c r="MJZ166" s="22"/>
      <c r="MKA166" s="22"/>
      <c r="MKB166" s="22"/>
      <c r="MKC166" s="22"/>
      <c r="MKD166" s="22"/>
      <c r="MKE166" s="22"/>
      <c r="MKF166" s="22"/>
      <c r="MKG166" s="22"/>
      <c r="MKH166" s="22"/>
      <c r="MKI166" s="22"/>
      <c r="MKJ166" s="22"/>
      <c r="MKK166" s="22"/>
      <c r="MKL166" s="22"/>
      <c r="MKM166" s="22"/>
      <c r="MKN166" s="22"/>
      <c r="MKO166" s="22"/>
      <c r="MKP166" s="22"/>
      <c r="MKQ166" s="22"/>
      <c r="MKR166" s="22"/>
      <c r="MKS166" s="22"/>
      <c r="MKT166" s="22"/>
      <c r="MKU166" s="22"/>
      <c r="MKV166" s="22"/>
      <c r="MKW166" s="22"/>
      <c r="MKX166" s="22"/>
      <c r="MKY166" s="22"/>
      <c r="MKZ166" s="22"/>
      <c r="MLA166" s="22"/>
      <c r="MLB166" s="22"/>
      <c r="MLC166" s="22"/>
      <c r="MLD166" s="22"/>
      <c r="MLE166" s="22"/>
      <c r="MLF166" s="22"/>
      <c r="MLG166" s="22"/>
      <c r="MLH166" s="22"/>
      <c r="MLI166" s="22"/>
      <c r="MLJ166" s="22"/>
      <c r="MLK166" s="22"/>
      <c r="MLL166" s="22"/>
      <c r="MLM166" s="22"/>
      <c r="MLN166" s="22"/>
      <c r="MLO166" s="22"/>
      <c r="MLP166" s="22"/>
      <c r="MLQ166" s="22"/>
      <c r="MLR166" s="22"/>
      <c r="MLS166" s="22"/>
      <c r="MLT166" s="22"/>
      <c r="MLU166" s="22"/>
      <c r="MLV166" s="22"/>
      <c r="MLW166" s="22"/>
      <c r="MLX166" s="22"/>
      <c r="MLY166" s="22"/>
      <c r="MLZ166" s="22"/>
      <c r="MMA166" s="22"/>
      <c r="MMB166" s="22"/>
      <c r="MMC166" s="22"/>
      <c r="MMD166" s="22"/>
      <c r="MME166" s="22"/>
      <c r="MMF166" s="22"/>
      <c r="MMG166" s="22"/>
      <c r="MMH166" s="22"/>
      <c r="MMI166" s="22"/>
      <c r="MMJ166" s="22"/>
      <c r="MMK166" s="22"/>
      <c r="MML166" s="22"/>
      <c r="MMM166" s="22"/>
      <c r="MMN166" s="22"/>
      <c r="MMO166" s="22"/>
      <c r="MMP166" s="22"/>
      <c r="MMQ166" s="22"/>
      <c r="MMR166" s="22"/>
      <c r="MMS166" s="22"/>
      <c r="MMT166" s="22"/>
      <c r="MMU166" s="22"/>
      <c r="MMV166" s="22"/>
      <c r="MMW166" s="22"/>
      <c r="MMX166" s="22"/>
      <c r="MMY166" s="22"/>
      <c r="MMZ166" s="22"/>
      <c r="MNA166" s="22"/>
      <c r="MNB166" s="22"/>
      <c r="MNC166" s="22"/>
      <c r="MND166" s="22"/>
      <c r="MNE166" s="22"/>
      <c r="MNF166" s="22"/>
      <c r="MNG166" s="22"/>
      <c r="MNH166" s="22"/>
      <c r="MNI166" s="22"/>
      <c r="MNJ166" s="22"/>
      <c r="MNK166" s="22"/>
      <c r="MNL166" s="22"/>
      <c r="MNM166" s="22"/>
      <c r="MNN166" s="22"/>
      <c r="MNO166" s="22"/>
      <c r="MNP166" s="22"/>
      <c r="MNQ166" s="22"/>
      <c r="MNR166" s="22"/>
      <c r="MNS166" s="22"/>
      <c r="MNT166" s="22"/>
      <c r="MNU166" s="22"/>
      <c r="MNV166" s="22"/>
      <c r="MNW166" s="22"/>
      <c r="MNX166" s="22"/>
      <c r="MNY166" s="22"/>
      <c r="MNZ166" s="22"/>
      <c r="MOA166" s="22"/>
      <c r="MOB166" s="22"/>
      <c r="MOC166" s="22"/>
      <c r="MOD166" s="22"/>
      <c r="MOE166" s="22"/>
      <c r="MOF166" s="22"/>
      <c r="MOG166" s="22"/>
      <c r="MOH166" s="22"/>
      <c r="MOI166" s="22"/>
      <c r="MOJ166" s="22"/>
      <c r="MOK166" s="22"/>
      <c r="MOL166" s="22"/>
      <c r="MOM166" s="22"/>
      <c r="MON166" s="22"/>
      <c r="MOO166" s="22"/>
      <c r="MOP166" s="22"/>
      <c r="MOQ166" s="22"/>
      <c r="MOR166" s="22"/>
      <c r="MOS166" s="22"/>
      <c r="MOT166" s="22"/>
      <c r="MOU166" s="22"/>
      <c r="MOV166" s="22"/>
      <c r="MOW166" s="22"/>
      <c r="MOX166" s="22"/>
      <c r="MOY166" s="22"/>
      <c r="MOZ166" s="22"/>
      <c r="MPA166" s="22"/>
      <c r="MPB166" s="22"/>
      <c r="MPC166" s="22"/>
      <c r="MPD166" s="22"/>
      <c r="MPE166" s="22"/>
      <c r="MPF166" s="22"/>
      <c r="MPG166" s="22"/>
      <c r="MPH166" s="22"/>
      <c r="MPI166" s="22"/>
      <c r="MPJ166" s="22"/>
      <c r="MPK166" s="22"/>
      <c r="MPL166" s="22"/>
      <c r="MPM166" s="22"/>
      <c r="MPN166" s="22"/>
      <c r="MPO166" s="22"/>
      <c r="MPP166" s="22"/>
      <c r="MPQ166" s="22"/>
      <c r="MPR166" s="22"/>
      <c r="MPS166" s="22"/>
      <c r="MPT166" s="22"/>
      <c r="MPU166" s="22"/>
      <c r="MPV166" s="22"/>
      <c r="MPW166" s="22"/>
      <c r="MPX166" s="22"/>
      <c r="MPY166" s="22"/>
      <c r="MPZ166" s="22"/>
      <c r="MQA166" s="22"/>
      <c r="MQB166" s="22"/>
      <c r="MQC166" s="22"/>
      <c r="MQD166" s="22"/>
      <c r="MQE166" s="22"/>
      <c r="MQF166" s="22"/>
      <c r="MQG166" s="22"/>
      <c r="MQH166" s="22"/>
      <c r="MQI166" s="22"/>
      <c r="MQJ166" s="22"/>
      <c r="MQK166" s="22"/>
      <c r="MQL166" s="22"/>
      <c r="MQM166" s="22"/>
      <c r="MQN166" s="22"/>
      <c r="MQO166" s="22"/>
      <c r="MQP166" s="22"/>
      <c r="MQQ166" s="22"/>
      <c r="MQR166" s="22"/>
      <c r="MQS166" s="22"/>
      <c r="MQT166" s="22"/>
      <c r="MQU166" s="22"/>
      <c r="MQV166" s="22"/>
      <c r="MQW166" s="22"/>
      <c r="MQX166" s="22"/>
      <c r="MQY166" s="22"/>
      <c r="MQZ166" s="22"/>
      <c r="MRA166" s="22"/>
      <c r="MRB166" s="22"/>
      <c r="MRC166" s="22"/>
      <c r="MRD166" s="22"/>
      <c r="MRE166" s="22"/>
      <c r="MRF166" s="22"/>
      <c r="MRG166" s="22"/>
      <c r="MRH166" s="22"/>
      <c r="MRI166" s="22"/>
      <c r="MRJ166" s="22"/>
      <c r="MRK166" s="22"/>
      <c r="MRL166" s="22"/>
      <c r="MRM166" s="22"/>
      <c r="MRN166" s="22"/>
      <c r="MRO166" s="22"/>
      <c r="MRP166" s="22"/>
      <c r="MRQ166" s="22"/>
      <c r="MRR166" s="22"/>
      <c r="MRS166" s="22"/>
      <c r="MRT166" s="22"/>
      <c r="MRU166" s="22"/>
      <c r="MRV166" s="22"/>
      <c r="MRW166" s="22"/>
      <c r="MRX166" s="22"/>
      <c r="MRY166" s="22"/>
      <c r="MRZ166" s="22"/>
      <c r="MSA166" s="22"/>
      <c r="MSB166" s="22"/>
      <c r="MSC166" s="22"/>
      <c r="MSD166" s="22"/>
      <c r="MSE166" s="22"/>
      <c r="MSF166" s="22"/>
      <c r="MSG166" s="22"/>
      <c r="MSH166" s="22"/>
      <c r="MSI166" s="22"/>
      <c r="MSJ166" s="22"/>
      <c r="MSK166" s="22"/>
      <c r="MSL166" s="22"/>
      <c r="MSM166" s="22"/>
      <c r="MSN166" s="22"/>
      <c r="MSO166" s="22"/>
      <c r="MSP166" s="22"/>
      <c r="MSQ166" s="22"/>
      <c r="MSR166" s="22"/>
      <c r="MSS166" s="22"/>
      <c r="MST166" s="22"/>
      <c r="MSU166" s="22"/>
      <c r="MSV166" s="22"/>
      <c r="MSW166" s="22"/>
      <c r="MSX166" s="22"/>
      <c r="MSY166" s="22"/>
      <c r="MSZ166" s="22"/>
      <c r="MTA166" s="22"/>
      <c r="MTB166" s="22"/>
      <c r="MTC166" s="22"/>
      <c r="MTD166" s="22"/>
      <c r="MTE166" s="22"/>
      <c r="MTF166" s="22"/>
      <c r="MTG166" s="22"/>
      <c r="MTH166" s="22"/>
      <c r="MTI166" s="22"/>
      <c r="MTJ166" s="22"/>
      <c r="MTK166" s="22"/>
      <c r="MTL166" s="22"/>
      <c r="MTM166" s="22"/>
      <c r="MTN166" s="22"/>
      <c r="MTO166" s="22"/>
      <c r="MTP166" s="22"/>
      <c r="MTQ166" s="22"/>
      <c r="MTR166" s="22"/>
      <c r="MTS166" s="22"/>
      <c r="MTT166" s="22"/>
      <c r="MTU166" s="22"/>
      <c r="MTV166" s="22"/>
      <c r="MTW166" s="22"/>
      <c r="MTX166" s="22"/>
      <c r="MTY166" s="22"/>
      <c r="MTZ166" s="22"/>
      <c r="MUA166" s="22"/>
      <c r="MUB166" s="22"/>
      <c r="MUC166" s="22"/>
      <c r="MUD166" s="22"/>
      <c r="MUE166" s="22"/>
      <c r="MUF166" s="22"/>
      <c r="MUG166" s="22"/>
      <c r="MUH166" s="22"/>
      <c r="MUI166" s="22"/>
      <c r="MUJ166" s="22"/>
      <c r="MUK166" s="22"/>
      <c r="MUL166" s="22"/>
      <c r="MUM166" s="22"/>
      <c r="MUN166" s="22"/>
      <c r="MUO166" s="22"/>
      <c r="MUP166" s="22"/>
      <c r="MUQ166" s="22"/>
      <c r="MUR166" s="22"/>
      <c r="MUS166" s="22"/>
      <c r="MUT166" s="22"/>
      <c r="MUU166" s="22"/>
      <c r="MUV166" s="22"/>
      <c r="MUW166" s="22"/>
      <c r="MUX166" s="22"/>
      <c r="MUY166" s="22"/>
      <c r="MUZ166" s="22"/>
      <c r="MVA166" s="22"/>
      <c r="MVB166" s="22"/>
      <c r="MVC166" s="22"/>
      <c r="MVD166" s="22"/>
      <c r="MVE166" s="22"/>
      <c r="MVF166" s="22"/>
      <c r="MVG166" s="22"/>
      <c r="MVH166" s="22"/>
      <c r="MVI166" s="22"/>
      <c r="MVJ166" s="22"/>
      <c r="MVK166" s="22"/>
      <c r="MVL166" s="22"/>
      <c r="MVM166" s="22"/>
      <c r="MVN166" s="22"/>
      <c r="MVO166" s="22"/>
      <c r="MVP166" s="22"/>
      <c r="MVQ166" s="22"/>
      <c r="MVR166" s="22"/>
      <c r="MVS166" s="22"/>
      <c r="MVT166" s="22"/>
      <c r="MVU166" s="22"/>
      <c r="MVV166" s="22"/>
      <c r="MVW166" s="22"/>
      <c r="MVX166" s="22"/>
      <c r="MVY166" s="22"/>
      <c r="MVZ166" s="22"/>
      <c r="MWA166" s="22"/>
      <c r="MWB166" s="22"/>
      <c r="MWC166" s="22"/>
      <c r="MWD166" s="22"/>
      <c r="MWE166" s="22"/>
      <c r="MWF166" s="22"/>
      <c r="MWG166" s="22"/>
      <c r="MWH166" s="22"/>
      <c r="MWI166" s="22"/>
      <c r="MWJ166" s="22"/>
      <c r="MWK166" s="22"/>
      <c r="MWL166" s="22"/>
      <c r="MWM166" s="22"/>
      <c r="MWN166" s="22"/>
      <c r="MWO166" s="22"/>
      <c r="MWP166" s="22"/>
      <c r="MWQ166" s="22"/>
      <c r="MWR166" s="22"/>
      <c r="MWS166" s="22"/>
      <c r="MWT166" s="22"/>
      <c r="MWU166" s="22"/>
      <c r="MWV166" s="22"/>
      <c r="MWW166" s="22"/>
      <c r="MWX166" s="22"/>
      <c r="MWY166" s="22"/>
      <c r="MWZ166" s="22"/>
      <c r="MXA166" s="22"/>
      <c r="MXB166" s="22"/>
      <c r="MXC166" s="22"/>
      <c r="MXD166" s="22"/>
      <c r="MXE166" s="22"/>
      <c r="MXF166" s="22"/>
      <c r="MXG166" s="22"/>
      <c r="MXH166" s="22"/>
      <c r="MXI166" s="22"/>
      <c r="MXJ166" s="22"/>
      <c r="MXK166" s="22"/>
      <c r="MXL166" s="22"/>
      <c r="MXM166" s="22"/>
      <c r="MXN166" s="22"/>
      <c r="MXO166" s="22"/>
      <c r="MXP166" s="22"/>
      <c r="MXQ166" s="22"/>
      <c r="MXR166" s="22"/>
      <c r="MXS166" s="22"/>
      <c r="MXT166" s="22"/>
      <c r="MXU166" s="22"/>
      <c r="MXV166" s="22"/>
      <c r="MXW166" s="22"/>
      <c r="MXX166" s="22"/>
      <c r="MXY166" s="22"/>
      <c r="MXZ166" s="22"/>
      <c r="MYA166" s="22"/>
      <c r="MYB166" s="22"/>
      <c r="MYC166" s="22"/>
      <c r="MYD166" s="22"/>
      <c r="MYE166" s="22"/>
      <c r="MYF166" s="22"/>
      <c r="MYG166" s="22"/>
      <c r="MYH166" s="22"/>
      <c r="MYI166" s="22"/>
      <c r="MYJ166" s="22"/>
      <c r="MYK166" s="22"/>
      <c r="MYL166" s="22"/>
      <c r="MYM166" s="22"/>
      <c r="MYN166" s="22"/>
      <c r="MYO166" s="22"/>
      <c r="MYP166" s="22"/>
      <c r="MYQ166" s="22"/>
      <c r="MYR166" s="22"/>
      <c r="MYS166" s="22"/>
      <c r="MYT166" s="22"/>
      <c r="MYU166" s="22"/>
      <c r="MYV166" s="22"/>
      <c r="MYW166" s="22"/>
      <c r="MYX166" s="22"/>
      <c r="MYY166" s="22"/>
      <c r="MYZ166" s="22"/>
      <c r="MZA166" s="22"/>
      <c r="MZB166" s="22"/>
      <c r="MZC166" s="22"/>
      <c r="MZD166" s="22"/>
      <c r="MZE166" s="22"/>
      <c r="MZF166" s="22"/>
      <c r="MZG166" s="22"/>
      <c r="MZH166" s="22"/>
      <c r="MZI166" s="22"/>
      <c r="MZJ166" s="22"/>
      <c r="MZK166" s="22"/>
      <c r="MZL166" s="22"/>
      <c r="MZM166" s="22"/>
      <c r="MZN166" s="22"/>
      <c r="MZO166" s="22"/>
      <c r="MZP166" s="22"/>
      <c r="MZQ166" s="22"/>
      <c r="MZR166" s="22"/>
      <c r="MZS166" s="22"/>
      <c r="MZT166" s="22"/>
      <c r="MZU166" s="22"/>
      <c r="MZV166" s="22"/>
      <c r="MZW166" s="22"/>
      <c r="MZX166" s="22"/>
      <c r="MZY166" s="22"/>
      <c r="MZZ166" s="22"/>
      <c r="NAA166" s="22"/>
      <c r="NAB166" s="22"/>
      <c r="NAC166" s="22"/>
      <c r="NAD166" s="22"/>
      <c r="NAE166" s="22"/>
      <c r="NAF166" s="22"/>
      <c r="NAG166" s="22"/>
      <c r="NAH166" s="22"/>
      <c r="NAI166" s="22"/>
      <c r="NAJ166" s="22"/>
      <c r="NAK166" s="22"/>
      <c r="NAL166" s="22"/>
      <c r="NAM166" s="22"/>
      <c r="NAN166" s="22"/>
      <c r="NAO166" s="22"/>
      <c r="NAP166" s="22"/>
      <c r="NAQ166" s="22"/>
      <c r="NAR166" s="22"/>
      <c r="NAS166" s="22"/>
      <c r="NAT166" s="22"/>
      <c r="NAU166" s="22"/>
      <c r="NAV166" s="22"/>
      <c r="NAW166" s="22"/>
      <c r="NAX166" s="22"/>
      <c r="NAY166" s="22"/>
      <c r="NAZ166" s="22"/>
      <c r="NBA166" s="22"/>
      <c r="NBB166" s="22"/>
      <c r="NBC166" s="22"/>
      <c r="NBD166" s="22"/>
      <c r="NBE166" s="22"/>
      <c r="NBF166" s="22"/>
      <c r="NBG166" s="22"/>
      <c r="NBH166" s="22"/>
      <c r="NBI166" s="22"/>
      <c r="NBJ166" s="22"/>
      <c r="NBK166" s="22"/>
      <c r="NBL166" s="22"/>
      <c r="NBM166" s="22"/>
      <c r="NBN166" s="22"/>
      <c r="NBO166" s="22"/>
      <c r="NBP166" s="22"/>
      <c r="NBQ166" s="22"/>
      <c r="NBR166" s="22"/>
      <c r="NBS166" s="22"/>
      <c r="NBT166" s="22"/>
      <c r="NBU166" s="22"/>
      <c r="NBV166" s="22"/>
      <c r="NBW166" s="22"/>
      <c r="NBX166" s="22"/>
      <c r="NBY166" s="22"/>
      <c r="NBZ166" s="22"/>
      <c r="NCA166" s="22"/>
      <c r="NCB166" s="22"/>
      <c r="NCC166" s="22"/>
      <c r="NCD166" s="22"/>
      <c r="NCE166" s="22"/>
      <c r="NCF166" s="22"/>
      <c r="NCG166" s="22"/>
      <c r="NCH166" s="22"/>
      <c r="NCI166" s="22"/>
      <c r="NCJ166" s="22"/>
      <c r="NCK166" s="22"/>
      <c r="NCL166" s="22"/>
      <c r="NCM166" s="22"/>
      <c r="NCN166" s="22"/>
      <c r="NCO166" s="22"/>
      <c r="NCP166" s="22"/>
      <c r="NCQ166" s="22"/>
      <c r="NCR166" s="22"/>
      <c r="NCS166" s="22"/>
      <c r="NCT166" s="22"/>
      <c r="NCU166" s="22"/>
      <c r="NCV166" s="22"/>
      <c r="NCW166" s="22"/>
      <c r="NCX166" s="22"/>
      <c r="NCY166" s="22"/>
      <c r="NCZ166" s="22"/>
      <c r="NDA166" s="22"/>
      <c r="NDB166" s="22"/>
      <c r="NDC166" s="22"/>
      <c r="NDD166" s="22"/>
      <c r="NDE166" s="22"/>
      <c r="NDF166" s="22"/>
      <c r="NDG166" s="22"/>
      <c r="NDH166" s="22"/>
      <c r="NDI166" s="22"/>
      <c r="NDJ166" s="22"/>
      <c r="NDK166" s="22"/>
      <c r="NDL166" s="22"/>
      <c r="NDM166" s="22"/>
      <c r="NDN166" s="22"/>
      <c r="NDO166" s="22"/>
      <c r="NDP166" s="22"/>
      <c r="NDQ166" s="22"/>
      <c r="NDR166" s="22"/>
      <c r="NDS166" s="22"/>
      <c r="NDT166" s="22"/>
      <c r="NDU166" s="22"/>
      <c r="NDV166" s="22"/>
      <c r="NDW166" s="22"/>
      <c r="NDX166" s="22"/>
      <c r="NDY166" s="22"/>
      <c r="NDZ166" s="22"/>
      <c r="NEA166" s="22"/>
      <c r="NEB166" s="22"/>
      <c r="NEC166" s="22"/>
      <c r="NED166" s="22"/>
      <c r="NEE166" s="22"/>
      <c r="NEF166" s="22"/>
      <c r="NEG166" s="22"/>
      <c r="NEH166" s="22"/>
      <c r="NEI166" s="22"/>
      <c r="NEJ166" s="22"/>
      <c r="NEK166" s="22"/>
      <c r="NEL166" s="22"/>
      <c r="NEM166" s="22"/>
      <c r="NEN166" s="22"/>
      <c r="NEO166" s="22"/>
      <c r="NEP166" s="22"/>
      <c r="NEQ166" s="22"/>
      <c r="NER166" s="22"/>
      <c r="NES166" s="22"/>
      <c r="NET166" s="22"/>
      <c r="NEU166" s="22"/>
      <c r="NEV166" s="22"/>
      <c r="NEW166" s="22"/>
      <c r="NEX166" s="22"/>
      <c r="NEY166" s="22"/>
      <c r="NEZ166" s="22"/>
      <c r="NFA166" s="22"/>
      <c r="NFB166" s="22"/>
      <c r="NFC166" s="22"/>
      <c r="NFD166" s="22"/>
      <c r="NFE166" s="22"/>
      <c r="NFF166" s="22"/>
      <c r="NFG166" s="22"/>
      <c r="NFH166" s="22"/>
      <c r="NFI166" s="22"/>
      <c r="NFJ166" s="22"/>
      <c r="NFK166" s="22"/>
      <c r="NFL166" s="22"/>
      <c r="NFM166" s="22"/>
      <c r="NFN166" s="22"/>
      <c r="NFO166" s="22"/>
      <c r="NFP166" s="22"/>
      <c r="NFQ166" s="22"/>
      <c r="NFR166" s="22"/>
      <c r="NFS166" s="22"/>
      <c r="NFT166" s="22"/>
      <c r="NFU166" s="22"/>
      <c r="NFV166" s="22"/>
      <c r="NFW166" s="22"/>
      <c r="NFX166" s="22"/>
      <c r="NFY166" s="22"/>
      <c r="NFZ166" s="22"/>
      <c r="NGA166" s="22"/>
      <c r="NGB166" s="22"/>
      <c r="NGC166" s="22"/>
      <c r="NGD166" s="22"/>
      <c r="NGE166" s="22"/>
      <c r="NGF166" s="22"/>
      <c r="NGG166" s="22"/>
      <c r="NGH166" s="22"/>
      <c r="NGI166" s="22"/>
      <c r="NGJ166" s="22"/>
      <c r="NGK166" s="22"/>
      <c r="NGL166" s="22"/>
      <c r="NGM166" s="22"/>
      <c r="NGN166" s="22"/>
      <c r="NGO166" s="22"/>
      <c r="NGP166" s="22"/>
      <c r="NGQ166" s="22"/>
      <c r="NGR166" s="22"/>
      <c r="NGS166" s="22"/>
      <c r="NGT166" s="22"/>
      <c r="NGU166" s="22"/>
      <c r="NGV166" s="22"/>
      <c r="NGW166" s="22"/>
      <c r="NGX166" s="22"/>
      <c r="NGY166" s="22"/>
      <c r="NGZ166" s="22"/>
      <c r="NHA166" s="22"/>
      <c r="NHB166" s="22"/>
      <c r="NHC166" s="22"/>
      <c r="NHD166" s="22"/>
      <c r="NHE166" s="22"/>
      <c r="NHF166" s="22"/>
      <c r="NHG166" s="22"/>
      <c r="NHH166" s="22"/>
      <c r="NHI166" s="22"/>
      <c r="NHJ166" s="22"/>
      <c r="NHK166" s="22"/>
      <c r="NHL166" s="22"/>
      <c r="NHM166" s="22"/>
      <c r="NHN166" s="22"/>
      <c r="NHO166" s="22"/>
      <c r="NHP166" s="22"/>
      <c r="NHQ166" s="22"/>
      <c r="NHR166" s="22"/>
      <c r="NHS166" s="22"/>
      <c r="NHT166" s="22"/>
      <c r="NHU166" s="22"/>
      <c r="NHV166" s="22"/>
      <c r="NHW166" s="22"/>
      <c r="NHX166" s="22"/>
      <c r="NHY166" s="22"/>
      <c r="NHZ166" s="22"/>
      <c r="NIA166" s="22"/>
      <c r="NIB166" s="22"/>
      <c r="NIC166" s="22"/>
      <c r="NID166" s="22"/>
      <c r="NIE166" s="22"/>
      <c r="NIF166" s="22"/>
      <c r="NIG166" s="22"/>
      <c r="NIH166" s="22"/>
      <c r="NII166" s="22"/>
      <c r="NIJ166" s="22"/>
      <c r="NIK166" s="22"/>
      <c r="NIL166" s="22"/>
      <c r="NIM166" s="22"/>
      <c r="NIN166" s="22"/>
      <c r="NIO166" s="22"/>
      <c r="NIP166" s="22"/>
      <c r="NIQ166" s="22"/>
      <c r="NIR166" s="22"/>
      <c r="NIS166" s="22"/>
      <c r="NIT166" s="22"/>
      <c r="NIU166" s="22"/>
      <c r="NIV166" s="22"/>
      <c r="NIW166" s="22"/>
      <c r="NIX166" s="22"/>
      <c r="NIY166" s="22"/>
      <c r="NIZ166" s="22"/>
      <c r="NJA166" s="22"/>
      <c r="NJB166" s="22"/>
      <c r="NJC166" s="22"/>
      <c r="NJD166" s="22"/>
      <c r="NJE166" s="22"/>
      <c r="NJF166" s="22"/>
      <c r="NJG166" s="22"/>
      <c r="NJH166" s="22"/>
      <c r="NJI166" s="22"/>
      <c r="NJJ166" s="22"/>
      <c r="NJK166" s="22"/>
      <c r="NJL166" s="22"/>
      <c r="NJM166" s="22"/>
      <c r="NJN166" s="22"/>
      <c r="NJO166" s="22"/>
      <c r="NJP166" s="22"/>
      <c r="NJQ166" s="22"/>
      <c r="NJR166" s="22"/>
      <c r="NJS166" s="22"/>
      <c r="NJT166" s="22"/>
      <c r="NJU166" s="22"/>
      <c r="NJV166" s="22"/>
      <c r="NJW166" s="22"/>
      <c r="NJX166" s="22"/>
      <c r="NJY166" s="22"/>
      <c r="NJZ166" s="22"/>
      <c r="NKA166" s="22"/>
      <c r="NKB166" s="22"/>
      <c r="NKC166" s="22"/>
      <c r="NKD166" s="22"/>
      <c r="NKE166" s="22"/>
      <c r="NKF166" s="22"/>
      <c r="NKG166" s="22"/>
      <c r="NKH166" s="22"/>
      <c r="NKI166" s="22"/>
      <c r="NKJ166" s="22"/>
      <c r="NKK166" s="22"/>
      <c r="NKL166" s="22"/>
      <c r="NKM166" s="22"/>
      <c r="NKN166" s="22"/>
      <c r="NKO166" s="22"/>
      <c r="NKP166" s="22"/>
      <c r="NKQ166" s="22"/>
      <c r="NKR166" s="22"/>
      <c r="NKS166" s="22"/>
      <c r="NKT166" s="22"/>
      <c r="NKU166" s="22"/>
      <c r="NKV166" s="22"/>
      <c r="NKW166" s="22"/>
      <c r="NKX166" s="22"/>
      <c r="NKY166" s="22"/>
      <c r="NKZ166" s="22"/>
      <c r="NLA166" s="22"/>
      <c r="NLB166" s="22"/>
      <c r="NLC166" s="22"/>
      <c r="NLD166" s="22"/>
      <c r="NLE166" s="22"/>
      <c r="NLF166" s="22"/>
      <c r="NLG166" s="22"/>
      <c r="NLH166" s="22"/>
      <c r="NLI166" s="22"/>
      <c r="NLJ166" s="22"/>
      <c r="NLK166" s="22"/>
      <c r="NLL166" s="22"/>
      <c r="NLM166" s="22"/>
      <c r="NLN166" s="22"/>
      <c r="NLO166" s="22"/>
      <c r="NLP166" s="22"/>
      <c r="NLQ166" s="22"/>
      <c r="NLR166" s="22"/>
      <c r="NLS166" s="22"/>
      <c r="NLT166" s="22"/>
      <c r="NLU166" s="22"/>
      <c r="NLV166" s="22"/>
      <c r="NLW166" s="22"/>
      <c r="NLX166" s="22"/>
      <c r="NLY166" s="22"/>
      <c r="NLZ166" s="22"/>
      <c r="NMA166" s="22"/>
      <c r="NMB166" s="22"/>
      <c r="NMC166" s="22"/>
      <c r="NMD166" s="22"/>
      <c r="NME166" s="22"/>
      <c r="NMF166" s="22"/>
      <c r="NMG166" s="22"/>
      <c r="NMH166" s="22"/>
      <c r="NMI166" s="22"/>
      <c r="NMJ166" s="22"/>
      <c r="NMK166" s="22"/>
      <c r="NML166" s="22"/>
      <c r="NMM166" s="22"/>
      <c r="NMN166" s="22"/>
      <c r="NMO166" s="22"/>
      <c r="NMP166" s="22"/>
      <c r="NMQ166" s="22"/>
      <c r="NMR166" s="22"/>
      <c r="NMS166" s="22"/>
      <c r="NMT166" s="22"/>
      <c r="NMU166" s="22"/>
      <c r="NMV166" s="22"/>
      <c r="NMW166" s="22"/>
      <c r="NMX166" s="22"/>
      <c r="NMY166" s="22"/>
      <c r="NMZ166" s="22"/>
      <c r="NNA166" s="22"/>
      <c r="NNB166" s="22"/>
      <c r="NNC166" s="22"/>
      <c r="NND166" s="22"/>
      <c r="NNE166" s="22"/>
      <c r="NNF166" s="22"/>
      <c r="NNG166" s="22"/>
      <c r="NNH166" s="22"/>
      <c r="NNI166" s="22"/>
      <c r="NNJ166" s="22"/>
      <c r="NNK166" s="22"/>
      <c r="NNL166" s="22"/>
      <c r="NNM166" s="22"/>
      <c r="NNN166" s="22"/>
      <c r="NNO166" s="22"/>
      <c r="NNP166" s="22"/>
      <c r="NNQ166" s="22"/>
      <c r="NNR166" s="22"/>
      <c r="NNS166" s="22"/>
      <c r="NNT166" s="22"/>
      <c r="NNU166" s="22"/>
      <c r="NNV166" s="22"/>
      <c r="NNW166" s="22"/>
      <c r="NNX166" s="22"/>
      <c r="NNY166" s="22"/>
      <c r="NNZ166" s="22"/>
      <c r="NOA166" s="22"/>
      <c r="NOB166" s="22"/>
      <c r="NOC166" s="22"/>
      <c r="NOD166" s="22"/>
      <c r="NOE166" s="22"/>
      <c r="NOF166" s="22"/>
      <c r="NOG166" s="22"/>
      <c r="NOH166" s="22"/>
      <c r="NOI166" s="22"/>
      <c r="NOJ166" s="22"/>
      <c r="NOK166" s="22"/>
      <c r="NOL166" s="22"/>
      <c r="NOM166" s="22"/>
      <c r="NON166" s="22"/>
      <c r="NOO166" s="22"/>
      <c r="NOP166" s="22"/>
      <c r="NOQ166" s="22"/>
      <c r="NOR166" s="22"/>
      <c r="NOS166" s="22"/>
      <c r="NOT166" s="22"/>
      <c r="NOU166" s="22"/>
      <c r="NOV166" s="22"/>
      <c r="NOW166" s="22"/>
      <c r="NOX166" s="22"/>
      <c r="NOY166" s="22"/>
      <c r="NOZ166" s="22"/>
      <c r="NPA166" s="22"/>
      <c r="NPB166" s="22"/>
      <c r="NPC166" s="22"/>
      <c r="NPD166" s="22"/>
      <c r="NPE166" s="22"/>
      <c r="NPF166" s="22"/>
      <c r="NPG166" s="22"/>
      <c r="NPH166" s="22"/>
      <c r="NPI166" s="22"/>
      <c r="NPJ166" s="22"/>
      <c r="NPK166" s="22"/>
      <c r="NPL166" s="22"/>
      <c r="NPM166" s="22"/>
      <c r="NPN166" s="22"/>
      <c r="NPO166" s="22"/>
      <c r="NPP166" s="22"/>
      <c r="NPQ166" s="22"/>
      <c r="NPR166" s="22"/>
      <c r="NPS166" s="22"/>
      <c r="NPT166" s="22"/>
      <c r="NPU166" s="22"/>
      <c r="NPV166" s="22"/>
      <c r="NPW166" s="22"/>
      <c r="NPX166" s="22"/>
      <c r="NPY166" s="22"/>
      <c r="NPZ166" s="22"/>
      <c r="NQA166" s="22"/>
      <c r="NQB166" s="22"/>
      <c r="NQC166" s="22"/>
      <c r="NQD166" s="22"/>
      <c r="NQE166" s="22"/>
      <c r="NQF166" s="22"/>
      <c r="NQG166" s="22"/>
      <c r="NQH166" s="22"/>
      <c r="NQI166" s="22"/>
      <c r="NQJ166" s="22"/>
      <c r="NQK166" s="22"/>
      <c r="NQL166" s="22"/>
      <c r="NQM166" s="22"/>
      <c r="NQN166" s="22"/>
      <c r="NQO166" s="22"/>
      <c r="NQP166" s="22"/>
      <c r="NQQ166" s="22"/>
      <c r="NQR166" s="22"/>
      <c r="NQS166" s="22"/>
      <c r="NQT166" s="22"/>
      <c r="NQU166" s="22"/>
      <c r="NQV166" s="22"/>
      <c r="NQW166" s="22"/>
      <c r="NQX166" s="22"/>
      <c r="NQY166" s="22"/>
      <c r="NQZ166" s="22"/>
      <c r="NRA166" s="22"/>
      <c r="NRB166" s="22"/>
      <c r="NRC166" s="22"/>
      <c r="NRD166" s="22"/>
      <c r="NRE166" s="22"/>
      <c r="NRF166" s="22"/>
      <c r="NRG166" s="22"/>
      <c r="NRH166" s="22"/>
      <c r="NRI166" s="22"/>
      <c r="NRJ166" s="22"/>
      <c r="NRK166" s="22"/>
      <c r="NRL166" s="22"/>
      <c r="NRM166" s="22"/>
      <c r="NRN166" s="22"/>
      <c r="NRO166" s="22"/>
      <c r="NRP166" s="22"/>
      <c r="NRQ166" s="22"/>
      <c r="NRR166" s="22"/>
      <c r="NRS166" s="22"/>
      <c r="NRT166" s="22"/>
      <c r="NRU166" s="22"/>
      <c r="NRV166" s="22"/>
      <c r="NRW166" s="22"/>
      <c r="NRX166" s="22"/>
      <c r="NRY166" s="22"/>
      <c r="NRZ166" s="22"/>
      <c r="NSA166" s="22"/>
      <c r="NSB166" s="22"/>
      <c r="NSC166" s="22"/>
      <c r="NSD166" s="22"/>
      <c r="NSE166" s="22"/>
      <c r="NSF166" s="22"/>
      <c r="NSG166" s="22"/>
      <c r="NSH166" s="22"/>
      <c r="NSI166" s="22"/>
      <c r="NSJ166" s="22"/>
      <c r="NSK166" s="22"/>
      <c r="NSL166" s="22"/>
      <c r="NSM166" s="22"/>
      <c r="NSN166" s="22"/>
      <c r="NSO166" s="22"/>
      <c r="NSP166" s="22"/>
      <c r="NSQ166" s="22"/>
      <c r="NSR166" s="22"/>
      <c r="NSS166" s="22"/>
      <c r="NST166" s="22"/>
      <c r="NSU166" s="22"/>
      <c r="NSV166" s="22"/>
      <c r="NSW166" s="22"/>
      <c r="NSX166" s="22"/>
      <c r="NSY166" s="22"/>
      <c r="NSZ166" s="22"/>
      <c r="NTA166" s="22"/>
      <c r="NTB166" s="22"/>
      <c r="NTC166" s="22"/>
      <c r="NTD166" s="22"/>
      <c r="NTE166" s="22"/>
      <c r="NTF166" s="22"/>
      <c r="NTG166" s="22"/>
      <c r="NTH166" s="22"/>
      <c r="NTI166" s="22"/>
      <c r="NTJ166" s="22"/>
      <c r="NTK166" s="22"/>
      <c r="NTL166" s="22"/>
      <c r="NTM166" s="22"/>
      <c r="NTN166" s="22"/>
      <c r="NTO166" s="22"/>
      <c r="NTP166" s="22"/>
      <c r="NTQ166" s="22"/>
      <c r="NTR166" s="22"/>
      <c r="NTS166" s="22"/>
      <c r="NTT166" s="22"/>
      <c r="NTU166" s="22"/>
      <c r="NTV166" s="22"/>
      <c r="NTW166" s="22"/>
      <c r="NTX166" s="22"/>
      <c r="NTY166" s="22"/>
      <c r="NTZ166" s="22"/>
      <c r="NUA166" s="22"/>
      <c r="NUB166" s="22"/>
      <c r="NUC166" s="22"/>
      <c r="NUD166" s="22"/>
      <c r="NUE166" s="22"/>
      <c r="NUF166" s="22"/>
      <c r="NUG166" s="22"/>
      <c r="NUH166" s="22"/>
      <c r="NUI166" s="22"/>
      <c r="NUJ166" s="22"/>
      <c r="NUK166" s="22"/>
      <c r="NUL166" s="22"/>
      <c r="NUM166" s="22"/>
      <c r="NUN166" s="22"/>
      <c r="NUO166" s="22"/>
      <c r="NUP166" s="22"/>
      <c r="NUQ166" s="22"/>
      <c r="NUR166" s="22"/>
      <c r="NUS166" s="22"/>
      <c r="NUT166" s="22"/>
      <c r="NUU166" s="22"/>
      <c r="NUV166" s="22"/>
      <c r="NUW166" s="22"/>
      <c r="NUX166" s="22"/>
      <c r="NUY166" s="22"/>
      <c r="NUZ166" s="22"/>
      <c r="NVA166" s="22"/>
      <c r="NVB166" s="22"/>
      <c r="NVC166" s="22"/>
      <c r="NVD166" s="22"/>
      <c r="NVE166" s="22"/>
      <c r="NVF166" s="22"/>
      <c r="NVG166" s="22"/>
      <c r="NVH166" s="22"/>
      <c r="NVI166" s="22"/>
      <c r="NVJ166" s="22"/>
      <c r="NVK166" s="22"/>
      <c r="NVL166" s="22"/>
      <c r="NVM166" s="22"/>
      <c r="NVN166" s="22"/>
      <c r="NVO166" s="22"/>
      <c r="NVP166" s="22"/>
      <c r="NVQ166" s="22"/>
      <c r="NVR166" s="22"/>
      <c r="NVS166" s="22"/>
      <c r="NVT166" s="22"/>
      <c r="NVU166" s="22"/>
      <c r="NVV166" s="22"/>
      <c r="NVW166" s="22"/>
      <c r="NVX166" s="22"/>
      <c r="NVY166" s="22"/>
      <c r="NVZ166" s="22"/>
      <c r="NWA166" s="22"/>
      <c r="NWB166" s="22"/>
      <c r="NWC166" s="22"/>
      <c r="NWD166" s="22"/>
      <c r="NWE166" s="22"/>
      <c r="NWF166" s="22"/>
      <c r="NWG166" s="22"/>
      <c r="NWH166" s="22"/>
      <c r="NWI166" s="22"/>
      <c r="NWJ166" s="22"/>
      <c r="NWK166" s="22"/>
      <c r="NWL166" s="22"/>
      <c r="NWM166" s="22"/>
      <c r="NWN166" s="22"/>
      <c r="NWO166" s="22"/>
      <c r="NWP166" s="22"/>
      <c r="NWQ166" s="22"/>
      <c r="NWR166" s="22"/>
      <c r="NWS166" s="22"/>
      <c r="NWT166" s="22"/>
      <c r="NWU166" s="22"/>
      <c r="NWV166" s="22"/>
      <c r="NWW166" s="22"/>
      <c r="NWX166" s="22"/>
      <c r="NWY166" s="22"/>
      <c r="NWZ166" s="22"/>
      <c r="NXA166" s="22"/>
      <c r="NXB166" s="22"/>
      <c r="NXC166" s="22"/>
      <c r="NXD166" s="22"/>
      <c r="NXE166" s="22"/>
      <c r="NXF166" s="22"/>
      <c r="NXG166" s="22"/>
      <c r="NXH166" s="22"/>
      <c r="NXI166" s="22"/>
      <c r="NXJ166" s="22"/>
      <c r="NXK166" s="22"/>
      <c r="NXL166" s="22"/>
      <c r="NXM166" s="22"/>
      <c r="NXN166" s="22"/>
      <c r="NXO166" s="22"/>
      <c r="NXP166" s="22"/>
      <c r="NXQ166" s="22"/>
      <c r="NXR166" s="22"/>
      <c r="NXS166" s="22"/>
      <c r="NXT166" s="22"/>
      <c r="NXU166" s="22"/>
      <c r="NXV166" s="22"/>
      <c r="NXW166" s="22"/>
      <c r="NXX166" s="22"/>
      <c r="NXY166" s="22"/>
      <c r="NXZ166" s="22"/>
      <c r="NYA166" s="22"/>
      <c r="NYB166" s="22"/>
      <c r="NYC166" s="22"/>
      <c r="NYD166" s="22"/>
      <c r="NYE166" s="22"/>
      <c r="NYF166" s="22"/>
      <c r="NYG166" s="22"/>
      <c r="NYH166" s="22"/>
      <c r="NYI166" s="22"/>
      <c r="NYJ166" s="22"/>
      <c r="NYK166" s="22"/>
      <c r="NYL166" s="22"/>
      <c r="NYM166" s="22"/>
      <c r="NYN166" s="22"/>
      <c r="NYO166" s="22"/>
      <c r="NYP166" s="22"/>
      <c r="NYQ166" s="22"/>
      <c r="NYR166" s="22"/>
      <c r="NYS166" s="22"/>
      <c r="NYT166" s="22"/>
      <c r="NYU166" s="22"/>
      <c r="NYV166" s="22"/>
      <c r="NYW166" s="22"/>
      <c r="NYX166" s="22"/>
      <c r="NYY166" s="22"/>
      <c r="NYZ166" s="22"/>
      <c r="NZA166" s="22"/>
      <c r="NZB166" s="22"/>
      <c r="NZC166" s="22"/>
      <c r="NZD166" s="22"/>
      <c r="NZE166" s="22"/>
      <c r="NZF166" s="22"/>
      <c r="NZG166" s="22"/>
      <c r="NZH166" s="22"/>
      <c r="NZI166" s="22"/>
      <c r="NZJ166" s="22"/>
      <c r="NZK166" s="22"/>
      <c r="NZL166" s="22"/>
      <c r="NZM166" s="22"/>
      <c r="NZN166" s="22"/>
      <c r="NZO166" s="22"/>
      <c r="NZP166" s="22"/>
      <c r="NZQ166" s="22"/>
      <c r="NZR166" s="22"/>
      <c r="NZS166" s="22"/>
      <c r="NZT166" s="22"/>
      <c r="NZU166" s="22"/>
      <c r="NZV166" s="22"/>
      <c r="NZW166" s="22"/>
      <c r="NZX166" s="22"/>
      <c r="NZY166" s="22"/>
      <c r="NZZ166" s="22"/>
      <c r="OAA166" s="22"/>
      <c r="OAB166" s="22"/>
      <c r="OAC166" s="22"/>
      <c r="OAD166" s="22"/>
      <c r="OAE166" s="22"/>
      <c r="OAF166" s="22"/>
      <c r="OAG166" s="22"/>
      <c r="OAH166" s="22"/>
      <c r="OAI166" s="22"/>
      <c r="OAJ166" s="22"/>
      <c r="OAK166" s="22"/>
      <c r="OAL166" s="22"/>
      <c r="OAM166" s="22"/>
      <c r="OAN166" s="22"/>
      <c r="OAO166" s="22"/>
      <c r="OAP166" s="22"/>
      <c r="OAQ166" s="22"/>
      <c r="OAR166" s="22"/>
      <c r="OAS166" s="22"/>
      <c r="OAT166" s="22"/>
      <c r="OAU166" s="22"/>
      <c r="OAV166" s="22"/>
      <c r="OAW166" s="22"/>
      <c r="OAX166" s="22"/>
      <c r="OAY166" s="22"/>
      <c r="OAZ166" s="22"/>
      <c r="OBA166" s="22"/>
      <c r="OBB166" s="22"/>
      <c r="OBC166" s="22"/>
      <c r="OBD166" s="22"/>
      <c r="OBE166" s="22"/>
      <c r="OBF166" s="22"/>
      <c r="OBG166" s="22"/>
      <c r="OBH166" s="22"/>
      <c r="OBI166" s="22"/>
      <c r="OBJ166" s="22"/>
      <c r="OBK166" s="22"/>
      <c r="OBL166" s="22"/>
      <c r="OBM166" s="22"/>
      <c r="OBN166" s="22"/>
      <c r="OBO166" s="22"/>
      <c r="OBP166" s="22"/>
      <c r="OBQ166" s="22"/>
      <c r="OBR166" s="22"/>
      <c r="OBS166" s="22"/>
      <c r="OBT166" s="22"/>
      <c r="OBU166" s="22"/>
      <c r="OBV166" s="22"/>
      <c r="OBW166" s="22"/>
      <c r="OBX166" s="22"/>
      <c r="OBY166" s="22"/>
      <c r="OBZ166" s="22"/>
      <c r="OCA166" s="22"/>
      <c r="OCB166" s="22"/>
      <c r="OCC166" s="22"/>
      <c r="OCD166" s="22"/>
      <c r="OCE166" s="22"/>
      <c r="OCF166" s="22"/>
      <c r="OCG166" s="22"/>
      <c r="OCH166" s="22"/>
      <c r="OCI166" s="22"/>
      <c r="OCJ166" s="22"/>
      <c r="OCK166" s="22"/>
      <c r="OCL166" s="22"/>
      <c r="OCM166" s="22"/>
      <c r="OCN166" s="22"/>
      <c r="OCO166" s="22"/>
      <c r="OCP166" s="22"/>
      <c r="OCQ166" s="22"/>
      <c r="OCR166" s="22"/>
      <c r="OCS166" s="22"/>
      <c r="OCT166" s="22"/>
      <c r="OCU166" s="22"/>
      <c r="OCV166" s="22"/>
      <c r="OCW166" s="22"/>
      <c r="OCX166" s="22"/>
      <c r="OCY166" s="22"/>
      <c r="OCZ166" s="22"/>
      <c r="ODA166" s="22"/>
      <c r="ODB166" s="22"/>
      <c r="ODC166" s="22"/>
      <c r="ODD166" s="22"/>
      <c r="ODE166" s="22"/>
      <c r="ODF166" s="22"/>
      <c r="ODG166" s="22"/>
      <c r="ODH166" s="22"/>
      <c r="ODI166" s="22"/>
      <c r="ODJ166" s="22"/>
      <c r="ODK166" s="22"/>
      <c r="ODL166" s="22"/>
      <c r="ODM166" s="22"/>
      <c r="ODN166" s="22"/>
      <c r="ODO166" s="22"/>
      <c r="ODP166" s="22"/>
      <c r="ODQ166" s="22"/>
      <c r="ODR166" s="22"/>
      <c r="ODS166" s="22"/>
      <c r="ODT166" s="22"/>
      <c r="ODU166" s="22"/>
      <c r="ODV166" s="22"/>
      <c r="ODW166" s="22"/>
      <c r="ODX166" s="22"/>
      <c r="ODY166" s="22"/>
      <c r="ODZ166" s="22"/>
      <c r="OEA166" s="22"/>
      <c r="OEB166" s="22"/>
      <c r="OEC166" s="22"/>
      <c r="OED166" s="22"/>
      <c r="OEE166" s="22"/>
      <c r="OEF166" s="22"/>
      <c r="OEG166" s="22"/>
      <c r="OEH166" s="22"/>
      <c r="OEI166" s="22"/>
      <c r="OEJ166" s="22"/>
      <c r="OEK166" s="22"/>
      <c r="OEL166" s="22"/>
      <c r="OEM166" s="22"/>
      <c r="OEN166" s="22"/>
      <c r="OEO166" s="22"/>
      <c r="OEP166" s="22"/>
      <c r="OEQ166" s="22"/>
      <c r="OER166" s="22"/>
      <c r="OES166" s="22"/>
      <c r="OET166" s="22"/>
      <c r="OEU166" s="22"/>
      <c r="OEV166" s="22"/>
      <c r="OEW166" s="22"/>
      <c r="OEX166" s="22"/>
      <c r="OEY166" s="22"/>
      <c r="OEZ166" s="22"/>
      <c r="OFA166" s="22"/>
      <c r="OFB166" s="22"/>
      <c r="OFC166" s="22"/>
      <c r="OFD166" s="22"/>
      <c r="OFE166" s="22"/>
      <c r="OFF166" s="22"/>
      <c r="OFG166" s="22"/>
      <c r="OFH166" s="22"/>
      <c r="OFI166" s="22"/>
      <c r="OFJ166" s="22"/>
      <c r="OFK166" s="22"/>
      <c r="OFL166" s="22"/>
      <c r="OFM166" s="22"/>
      <c r="OFN166" s="22"/>
      <c r="OFO166" s="22"/>
      <c r="OFP166" s="22"/>
      <c r="OFQ166" s="22"/>
      <c r="OFR166" s="22"/>
      <c r="OFS166" s="22"/>
      <c r="OFT166" s="22"/>
      <c r="OFU166" s="22"/>
      <c r="OFV166" s="22"/>
      <c r="OFW166" s="22"/>
      <c r="OFX166" s="22"/>
      <c r="OFY166" s="22"/>
      <c r="OFZ166" s="22"/>
      <c r="OGA166" s="22"/>
      <c r="OGB166" s="22"/>
      <c r="OGC166" s="22"/>
      <c r="OGD166" s="22"/>
      <c r="OGE166" s="22"/>
      <c r="OGF166" s="22"/>
      <c r="OGG166" s="22"/>
      <c r="OGH166" s="22"/>
      <c r="OGI166" s="22"/>
      <c r="OGJ166" s="22"/>
      <c r="OGK166" s="22"/>
      <c r="OGL166" s="22"/>
      <c r="OGM166" s="22"/>
      <c r="OGN166" s="22"/>
      <c r="OGO166" s="22"/>
      <c r="OGP166" s="22"/>
      <c r="OGQ166" s="22"/>
      <c r="OGR166" s="22"/>
      <c r="OGS166" s="22"/>
      <c r="OGT166" s="22"/>
      <c r="OGU166" s="22"/>
      <c r="OGV166" s="22"/>
      <c r="OGW166" s="22"/>
      <c r="OGX166" s="22"/>
      <c r="OGY166" s="22"/>
      <c r="OGZ166" s="22"/>
      <c r="OHA166" s="22"/>
      <c r="OHB166" s="22"/>
      <c r="OHC166" s="22"/>
      <c r="OHD166" s="22"/>
      <c r="OHE166" s="22"/>
      <c r="OHF166" s="22"/>
      <c r="OHG166" s="22"/>
      <c r="OHH166" s="22"/>
      <c r="OHI166" s="22"/>
      <c r="OHJ166" s="22"/>
      <c r="OHK166" s="22"/>
      <c r="OHL166" s="22"/>
      <c r="OHM166" s="22"/>
      <c r="OHN166" s="22"/>
      <c r="OHO166" s="22"/>
      <c r="OHP166" s="22"/>
      <c r="OHQ166" s="22"/>
      <c r="OHR166" s="22"/>
      <c r="OHS166" s="22"/>
      <c r="OHT166" s="22"/>
      <c r="OHU166" s="22"/>
      <c r="OHV166" s="22"/>
      <c r="OHW166" s="22"/>
      <c r="OHX166" s="22"/>
      <c r="OHY166" s="22"/>
      <c r="OHZ166" s="22"/>
      <c r="OIA166" s="22"/>
      <c r="OIB166" s="22"/>
      <c r="OIC166" s="22"/>
      <c r="OID166" s="22"/>
      <c r="OIE166" s="22"/>
      <c r="OIF166" s="22"/>
      <c r="OIG166" s="22"/>
      <c r="OIH166" s="22"/>
      <c r="OII166" s="22"/>
      <c r="OIJ166" s="22"/>
      <c r="OIK166" s="22"/>
      <c r="OIL166" s="22"/>
      <c r="OIM166" s="22"/>
      <c r="OIN166" s="22"/>
      <c r="OIO166" s="22"/>
      <c r="OIP166" s="22"/>
      <c r="OIQ166" s="22"/>
      <c r="OIR166" s="22"/>
      <c r="OIS166" s="22"/>
      <c r="OIT166" s="22"/>
      <c r="OIU166" s="22"/>
      <c r="OIV166" s="22"/>
      <c r="OIW166" s="22"/>
      <c r="OIX166" s="22"/>
      <c r="OIY166" s="22"/>
      <c r="OIZ166" s="22"/>
      <c r="OJA166" s="22"/>
      <c r="OJB166" s="22"/>
      <c r="OJC166" s="22"/>
      <c r="OJD166" s="22"/>
      <c r="OJE166" s="22"/>
      <c r="OJF166" s="22"/>
      <c r="OJG166" s="22"/>
      <c r="OJH166" s="22"/>
      <c r="OJI166" s="22"/>
      <c r="OJJ166" s="22"/>
      <c r="OJK166" s="22"/>
      <c r="OJL166" s="22"/>
      <c r="OJM166" s="22"/>
      <c r="OJN166" s="22"/>
      <c r="OJO166" s="22"/>
      <c r="OJP166" s="22"/>
      <c r="OJQ166" s="22"/>
      <c r="OJR166" s="22"/>
      <c r="OJS166" s="22"/>
      <c r="OJT166" s="22"/>
      <c r="OJU166" s="22"/>
      <c r="OJV166" s="22"/>
      <c r="OJW166" s="22"/>
      <c r="OJX166" s="22"/>
      <c r="OJY166" s="22"/>
      <c r="OJZ166" s="22"/>
      <c r="OKA166" s="22"/>
      <c r="OKB166" s="22"/>
      <c r="OKC166" s="22"/>
      <c r="OKD166" s="22"/>
      <c r="OKE166" s="22"/>
      <c r="OKF166" s="22"/>
      <c r="OKG166" s="22"/>
      <c r="OKH166" s="22"/>
      <c r="OKI166" s="22"/>
      <c r="OKJ166" s="22"/>
      <c r="OKK166" s="22"/>
      <c r="OKL166" s="22"/>
      <c r="OKM166" s="22"/>
      <c r="OKN166" s="22"/>
      <c r="OKO166" s="22"/>
      <c r="OKP166" s="22"/>
      <c r="OKQ166" s="22"/>
      <c r="OKR166" s="22"/>
      <c r="OKS166" s="22"/>
      <c r="OKT166" s="22"/>
      <c r="OKU166" s="22"/>
      <c r="OKV166" s="22"/>
      <c r="OKW166" s="22"/>
      <c r="OKX166" s="22"/>
      <c r="OKY166" s="22"/>
      <c r="OKZ166" s="22"/>
      <c r="OLA166" s="22"/>
      <c r="OLB166" s="22"/>
      <c r="OLC166" s="22"/>
      <c r="OLD166" s="22"/>
      <c r="OLE166" s="22"/>
      <c r="OLF166" s="22"/>
      <c r="OLG166" s="22"/>
      <c r="OLH166" s="22"/>
      <c r="OLI166" s="22"/>
      <c r="OLJ166" s="22"/>
      <c r="OLK166" s="22"/>
      <c r="OLL166" s="22"/>
      <c r="OLM166" s="22"/>
      <c r="OLN166" s="22"/>
      <c r="OLO166" s="22"/>
      <c r="OLP166" s="22"/>
      <c r="OLQ166" s="22"/>
      <c r="OLR166" s="22"/>
      <c r="OLS166" s="22"/>
      <c r="OLT166" s="22"/>
      <c r="OLU166" s="22"/>
      <c r="OLV166" s="22"/>
      <c r="OLW166" s="22"/>
      <c r="OLX166" s="22"/>
      <c r="OLY166" s="22"/>
      <c r="OLZ166" s="22"/>
      <c r="OMA166" s="22"/>
      <c r="OMB166" s="22"/>
      <c r="OMC166" s="22"/>
      <c r="OMD166" s="22"/>
      <c r="OME166" s="22"/>
      <c r="OMF166" s="22"/>
      <c r="OMG166" s="22"/>
      <c r="OMH166" s="22"/>
      <c r="OMI166" s="22"/>
      <c r="OMJ166" s="22"/>
      <c r="OMK166" s="22"/>
      <c r="OML166" s="22"/>
      <c r="OMM166" s="22"/>
      <c r="OMN166" s="22"/>
      <c r="OMO166" s="22"/>
      <c r="OMP166" s="22"/>
      <c r="OMQ166" s="22"/>
      <c r="OMR166" s="22"/>
      <c r="OMS166" s="22"/>
      <c r="OMT166" s="22"/>
      <c r="OMU166" s="22"/>
      <c r="OMV166" s="22"/>
      <c r="OMW166" s="22"/>
      <c r="OMX166" s="22"/>
      <c r="OMY166" s="22"/>
      <c r="OMZ166" s="22"/>
      <c r="ONA166" s="22"/>
      <c r="ONB166" s="22"/>
      <c r="ONC166" s="22"/>
      <c r="OND166" s="22"/>
      <c r="ONE166" s="22"/>
      <c r="ONF166" s="22"/>
      <c r="ONG166" s="22"/>
      <c r="ONH166" s="22"/>
      <c r="ONI166" s="22"/>
      <c r="ONJ166" s="22"/>
      <c r="ONK166" s="22"/>
      <c r="ONL166" s="22"/>
      <c r="ONM166" s="22"/>
      <c r="ONN166" s="22"/>
      <c r="ONO166" s="22"/>
      <c r="ONP166" s="22"/>
      <c r="ONQ166" s="22"/>
      <c r="ONR166" s="22"/>
      <c r="ONS166" s="22"/>
      <c r="ONT166" s="22"/>
      <c r="ONU166" s="22"/>
      <c r="ONV166" s="22"/>
      <c r="ONW166" s="22"/>
      <c r="ONX166" s="22"/>
      <c r="ONY166" s="22"/>
      <c r="ONZ166" s="22"/>
      <c r="OOA166" s="22"/>
      <c r="OOB166" s="22"/>
      <c r="OOC166" s="22"/>
      <c r="OOD166" s="22"/>
      <c r="OOE166" s="22"/>
      <c r="OOF166" s="22"/>
      <c r="OOG166" s="22"/>
      <c r="OOH166" s="22"/>
      <c r="OOI166" s="22"/>
      <c r="OOJ166" s="22"/>
      <c r="OOK166" s="22"/>
      <c r="OOL166" s="22"/>
      <c r="OOM166" s="22"/>
      <c r="OON166" s="22"/>
      <c r="OOO166" s="22"/>
      <c r="OOP166" s="22"/>
      <c r="OOQ166" s="22"/>
      <c r="OOR166" s="22"/>
      <c r="OOS166" s="22"/>
      <c r="OOT166" s="22"/>
      <c r="OOU166" s="22"/>
      <c r="OOV166" s="22"/>
      <c r="OOW166" s="22"/>
      <c r="OOX166" s="22"/>
      <c r="OOY166" s="22"/>
      <c r="OOZ166" s="22"/>
      <c r="OPA166" s="22"/>
      <c r="OPB166" s="22"/>
      <c r="OPC166" s="22"/>
      <c r="OPD166" s="22"/>
      <c r="OPE166" s="22"/>
      <c r="OPF166" s="22"/>
      <c r="OPG166" s="22"/>
      <c r="OPH166" s="22"/>
      <c r="OPI166" s="22"/>
      <c r="OPJ166" s="22"/>
      <c r="OPK166" s="22"/>
      <c r="OPL166" s="22"/>
      <c r="OPM166" s="22"/>
      <c r="OPN166" s="22"/>
      <c r="OPO166" s="22"/>
      <c r="OPP166" s="22"/>
      <c r="OPQ166" s="22"/>
      <c r="OPR166" s="22"/>
      <c r="OPS166" s="22"/>
      <c r="OPT166" s="22"/>
      <c r="OPU166" s="22"/>
      <c r="OPV166" s="22"/>
      <c r="OPW166" s="22"/>
      <c r="OPX166" s="22"/>
      <c r="OPY166" s="22"/>
      <c r="OPZ166" s="22"/>
      <c r="OQA166" s="22"/>
      <c r="OQB166" s="22"/>
      <c r="OQC166" s="22"/>
      <c r="OQD166" s="22"/>
      <c r="OQE166" s="22"/>
      <c r="OQF166" s="22"/>
      <c r="OQG166" s="22"/>
      <c r="OQH166" s="22"/>
      <c r="OQI166" s="22"/>
      <c r="OQJ166" s="22"/>
      <c r="OQK166" s="22"/>
      <c r="OQL166" s="22"/>
      <c r="OQM166" s="22"/>
      <c r="OQN166" s="22"/>
      <c r="OQO166" s="22"/>
      <c r="OQP166" s="22"/>
      <c r="OQQ166" s="22"/>
      <c r="OQR166" s="22"/>
      <c r="OQS166" s="22"/>
      <c r="OQT166" s="22"/>
      <c r="OQU166" s="22"/>
      <c r="OQV166" s="22"/>
      <c r="OQW166" s="22"/>
      <c r="OQX166" s="22"/>
      <c r="OQY166" s="22"/>
      <c r="OQZ166" s="22"/>
      <c r="ORA166" s="22"/>
      <c r="ORB166" s="22"/>
      <c r="ORC166" s="22"/>
      <c r="ORD166" s="22"/>
      <c r="ORE166" s="22"/>
      <c r="ORF166" s="22"/>
      <c r="ORG166" s="22"/>
      <c r="ORH166" s="22"/>
      <c r="ORI166" s="22"/>
      <c r="ORJ166" s="22"/>
      <c r="ORK166" s="22"/>
      <c r="ORL166" s="22"/>
      <c r="ORM166" s="22"/>
      <c r="ORN166" s="22"/>
      <c r="ORO166" s="22"/>
      <c r="ORP166" s="22"/>
      <c r="ORQ166" s="22"/>
      <c r="ORR166" s="22"/>
      <c r="ORS166" s="22"/>
      <c r="ORT166" s="22"/>
      <c r="ORU166" s="22"/>
      <c r="ORV166" s="22"/>
      <c r="ORW166" s="22"/>
      <c r="ORX166" s="22"/>
      <c r="ORY166" s="22"/>
      <c r="ORZ166" s="22"/>
      <c r="OSA166" s="22"/>
      <c r="OSB166" s="22"/>
      <c r="OSC166" s="22"/>
      <c r="OSD166" s="22"/>
      <c r="OSE166" s="22"/>
      <c r="OSF166" s="22"/>
      <c r="OSG166" s="22"/>
      <c r="OSH166" s="22"/>
      <c r="OSI166" s="22"/>
      <c r="OSJ166" s="22"/>
      <c r="OSK166" s="22"/>
      <c r="OSL166" s="22"/>
      <c r="OSM166" s="22"/>
      <c r="OSN166" s="22"/>
      <c r="OSO166" s="22"/>
      <c r="OSP166" s="22"/>
      <c r="OSQ166" s="22"/>
      <c r="OSR166" s="22"/>
      <c r="OSS166" s="22"/>
      <c r="OST166" s="22"/>
      <c r="OSU166" s="22"/>
      <c r="OSV166" s="22"/>
      <c r="OSW166" s="22"/>
      <c r="OSX166" s="22"/>
      <c r="OSY166" s="22"/>
      <c r="OSZ166" s="22"/>
      <c r="OTA166" s="22"/>
      <c r="OTB166" s="22"/>
      <c r="OTC166" s="22"/>
      <c r="OTD166" s="22"/>
      <c r="OTE166" s="22"/>
      <c r="OTF166" s="22"/>
      <c r="OTG166" s="22"/>
      <c r="OTH166" s="22"/>
      <c r="OTI166" s="22"/>
      <c r="OTJ166" s="22"/>
      <c r="OTK166" s="22"/>
      <c r="OTL166" s="22"/>
      <c r="OTM166" s="22"/>
      <c r="OTN166" s="22"/>
      <c r="OTO166" s="22"/>
      <c r="OTP166" s="22"/>
      <c r="OTQ166" s="22"/>
      <c r="OTR166" s="22"/>
      <c r="OTS166" s="22"/>
      <c r="OTT166" s="22"/>
      <c r="OTU166" s="22"/>
      <c r="OTV166" s="22"/>
      <c r="OTW166" s="22"/>
      <c r="OTX166" s="22"/>
      <c r="OTY166" s="22"/>
      <c r="OTZ166" s="22"/>
      <c r="OUA166" s="22"/>
      <c r="OUB166" s="22"/>
      <c r="OUC166" s="22"/>
      <c r="OUD166" s="22"/>
      <c r="OUE166" s="22"/>
      <c r="OUF166" s="22"/>
      <c r="OUG166" s="22"/>
      <c r="OUH166" s="22"/>
      <c r="OUI166" s="22"/>
      <c r="OUJ166" s="22"/>
      <c r="OUK166" s="22"/>
      <c r="OUL166" s="22"/>
      <c r="OUM166" s="22"/>
      <c r="OUN166" s="22"/>
      <c r="OUO166" s="22"/>
      <c r="OUP166" s="22"/>
      <c r="OUQ166" s="22"/>
      <c r="OUR166" s="22"/>
      <c r="OUS166" s="22"/>
      <c r="OUT166" s="22"/>
      <c r="OUU166" s="22"/>
      <c r="OUV166" s="22"/>
      <c r="OUW166" s="22"/>
      <c r="OUX166" s="22"/>
      <c r="OUY166" s="22"/>
      <c r="OUZ166" s="22"/>
      <c r="OVA166" s="22"/>
      <c r="OVB166" s="22"/>
      <c r="OVC166" s="22"/>
      <c r="OVD166" s="22"/>
      <c r="OVE166" s="22"/>
      <c r="OVF166" s="22"/>
      <c r="OVG166" s="22"/>
      <c r="OVH166" s="22"/>
      <c r="OVI166" s="22"/>
      <c r="OVJ166" s="22"/>
      <c r="OVK166" s="22"/>
      <c r="OVL166" s="22"/>
      <c r="OVM166" s="22"/>
      <c r="OVN166" s="22"/>
      <c r="OVO166" s="22"/>
      <c r="OVP166" s="22"/>
      <c r="OVQ166" s="22"/>
      <c r="OVR166" s="22"/>
      <c r="OVS166" s="22"/>
      <c r="OVT166" s="22"/>
      <c r="OVU166" s="22"/>
      <c r="OVV166" s="22"/>
      <c r="OVW166" s="22"/>
      <c r="OVX166" s="22"/>
      <c r="OVY166" s="22"/>
      <c r="OVZ166" s="22"/>
      <c r="OWA166" s="22"/>
      <c r="OWB166" s="22"/>
      <c r="OWC166" s="22"/>
      <c r="OWD166" s="22"/>
      <c r="OWE166" s="22"/>
      <c r="OWF166" s="22"/>
      <c r="OWG166" s="22"/>
      <c r="OWH166" s="22"/>
      <c r="OWI166" s="22"/>
      <c r="OWJ166" s="22"/>
      <c r="OWK166" s="22"/>
      <c r="OWL166" s="22"/>
      <c r="OWM166" s="22"/>
      <c r="OWN166" s="22"/>
      <c r="OWO166" s="22"/>
      <c r="OWP166" s="22"/>
      <c r="OWQ166" s="22"/>
      <c r="OWR166" s="22"/>
      <c r="OWS166" s="22"/>
      <c r="OWT166" s="22"/>
      <c r="OWU166" s="22"/>
      <c r="OWV166" s="22"/>
      <c r="OWW166" s="22"/>
      <c r="OWX166" s="22"/>
      <c r="OWY166" s="22"/>
      <c r="OWZ166" s="22"/>
      <c r="OXA166" s="22"/>
      <c r="OXB166" s="22"/>
      <c r="OXC166" s="22"/>
      <c r="OXD166" s="22"/>
      <c r="OXE166" s="22"/>
      <c r="OXF166" s="22"/>
      <c r="OXG166" s="22"/>
      <c r="OXH166" s="22"/>
      <c r="OXI166" s="22"/>
      <c r="OXJ166" s="22"/>
      <c r="OXK166" s="22"/>
      <c r="OXL166" s="22"/>
      <c r="OXM166" s="22"/>
      <c r="OXN166" s="22"/>
      <c r="OXO166" s="22"/>
      <c r="OXP166" s="22"/>
      <c r="OXQ166" s="22"/>
      <c r="OXR166" s="22"/>
      <c r="OXS166" s="22"/>
      <c r="OXT166" s="22"/>
      <c r="OXU166" s="22"/>
      <c r="OXV166" s="22"/>
      <c r="OXW166" s="22"/>
      <c r="OXX166" s="22"/>
      <c r="OXY166" s="22"/>
      <c r="OXZ166" s="22"/>
      <c r="OYA166" s="22"/>
      <c r="OYB166" s="22"/>
      <c r="OYC166" s="22"/>
      <c r="OYD166" s="22"/>
      <c r="OYE166" s="22"/>
      <c r="OYF166" s="22"/>
      <c r="OYG166" s="22"/>
      <c r="OYH166" s="22"/>
      <c r="OYI166" s="22"/>
      <c r="OYJ166" s="22"/>
      <c r="OYK166" s="22"/>
      <c r="OYL166" s="22"/>
      <c r="OYM166" s="22"/>
      <c r="OYN166" s="22"/>
      <c r="OYO166" s="22"/>
      <c r="OYP166" s="22"/>
      <c r="OYQ166" s="22"/>
      <c r="OYR166" s="22"/>
      <c r="OYS166" s="22"/>
      <c r="OYT166" s="22"/>
      <c r="OYU166" s="22"/>
      <c r="OYV166" s="22"/>
      <c r="OYW166" s="22"/>
      <c r="OYX166" s="22"/>
      <c r="OYY166" s="22"/>
      <c r="OYZ166" s="22"/>
      <c r="OZA166" s="22"/>
      <c r="OZB166" s="22"/>
      <c r="OZC166" s="22"/>
      <c r="OZD166" s="22"/>
      <c r="OZE166" s="22"/>
      <c r="OZF166" s="22"/>
      <c r="OZG166" s="22"/>
      <c r="OZH166" s="22"/>
      <c r="OZI166" s="22"/>
      <c r="OZJ166" s="22"/>
      <c r="OZK166" s="22"/>
      <c r="OZL166" s="22"/>
      <c r="OZM166" s="22"/>
      <c r="OZN166" s="22"/>
      <c r="OZO166" s="22"/>
      <c r="OZP166" s="22"/>
      <c r="OZQ166" s="22"/>
      <c r="OZR166" s="22"/>
      <c r="OZS166" s="22"/>
      <c r="OZT166" s="22"/>
      <c r="OZU166" s="22"/>
      <c r="OZV166" s="22"/>
      <c r="OZW166" s="22"/>
      <c r="OZX166" s="22"/>
      <c r="OZY166" s="22"/>
      <c r="OZZ166" s="22"/>
      <c r="PAA166" s="22"/>
      <c r="PAB166" s="22"/>
      <c r="PAC166" s="22"/>
      <c r="PAD166" s="22"/>
      <c r="PAE166" s="22"/>
      <c r="PAF166" s="22"/>
      <c r="PAG166" s="22"/>
      <c r="PAH166" s="22"/>
      <c r="PAI166" s="22"/>
      <c r="PAJ166" s="22"/>
      <c r="PAK166" s="22"/>
      <c r="PAL166" s="22"/>
      <c r="PAM166" s="22"/>
      <c r="PAN166" s="22"/>
      <c r="PAO166" s="22"/>
      <c r="PAP166" s="22"/>
      <c r="PAQ166" s="22"/>
      <c r="PAR166" s="22"/>
      <c r="PAS166" s="22"/>
      <c r="PAT166" s="22"/>
      <c r="PAU166" s="22"/>
      <c r="PAV166" s="22"/>
      <c r="PAW166" s="22"/>
      <c r="PAX166" s="22"/>
      <c r="PAY166" s="22"/>
      <c r="PAZ166" s="22"/>
      <c r="PBA166" s="22"/>
      <c r="PBB166" s="22"/>
      <c r="PBC166" s="22"/>
      <c r="PBD166" s="22"/>
      <c r="PBE166" s="22"/>
      <c r="PBF166" s="22"/>
      <c r="PBG166" s="22"/>
      <c r="PBH166" s="22"/>
      <c r="PBI166" s="22"/>
      <c r="PBJ166" s="22"/>
      <c r="PBK166" s="22"/>
      <c r="PBL166" s="22"/>
      <c r="PBM166" s="22"/>
      <c r="PBN166" s="22"/>
      <c r="PBO166" s="22"/>
      <c r="PBP166" s="22"/>
      <c r="PBQ166" s="22"/>
      <c r="PBR166" s="22"/>
      <c r="PBS166" s="22"/>
      <c r="PBT166" s="22"/>
      <c r="PBU166" s="22"/>
      <c r="PBV166" s="22"/>
      <c r="PBW166" s="22"/>
      <c r="PBX166" s="22"/>
      <c r="PBY166" s="22"/>
      <c r="PBZ166" s="22"/>
      <c r="PCA166" s="22"/>
      <c r="PCB166" s="22"/>
      <c r="PCC166" s="22"/>
      <c r="PCD166" s="22"/>
      <c r="PCE166" s="22"/>
      <c r="PCF166" s="22"/>
      <c r="PCG166" s="22"/>
      <c r="PCH166" s="22"/>
      <c r="PCI166" s="22"/>
      <c r="PCJ166" s="22"/>
      <c r="PCK166" s="22"/>
      <c r="PCL166" s="22"/>
      <c r="PCM166" s="22"/>
      <c r="PCN166" s="22"/>
      <c r="PCO166" s="22"/>
      <c r="PCP166" s="22"/>
      <c r="PCQ166" s="22"/>
      <c r="PCR166" s="22"/>
      <c r="PCS166" s="22"/>
      <c r="PCT166" s="22"/>
      <c r="PCU166" s="22"/>
      <c r="PCV166" s="22"/>
      <c r="PCW166" s="22"/>
      <c r="PCX166" s="22"/>
      <c r="PCY166" s="22"/>
      <c r="PCZ166" s="22"/>
      <c r="PDA166" s="22"/>
      <c r="PDB166" s="22"/>
      <c r="PDC166" s="22"/>
      <c r="PDD166" s="22"/>
      <c r="PDE166" s="22"/>
      <c r="PDF166" s="22"/>
      <c r="PDG166" s="22"/>
      <c r="PDH166" s="22"/>
      <c r="PDI166" s="22"/>
      <c r="PDJ166" s="22"/>
      <c r="PDK166" s="22"/>
      <c r="PDL166" s="22"/>
      <c r="PDM166" s="22"/>
      <c r="PDN166" s="22"/>
      <c r="PDO166" s="22"/>
      <c r="PDP166" s="22"/>
      <c r="PDQ166" s="22"/>
      <c r="PDR166" s="22"/>
      <c r="PDS166" s="22"/>
      <c r="PDT166" s="22"/>
      <c r="PDU166" s="22"/>
      <c r="PDV166" s="22"/>
      <c r="PDW166" s="22"/>
      <c r="PDX166" s="22"/>
      <c r="PDY166" s="22"/>
      <c r="PDZ166" s="22"/>
      <c r="PEA166" s="22"/>
      <c r="PEB166" s="22"/>
      <c r="PEC166" s="22"/>
      <c r="PED166" s="22"/>
      <c r="PEE166" s="22"/>
      <c r="PEF166" s="22"/>
      <c r="PEG166" s="22"/>
      <c r="PEH166" s="22"/>
      <c r="PEI166" s="22"/>
      <c r="PEJ166" s="22"/>
      <c r="PEK166" s="22"/>
      <c r="PEL166" s="22"/>
      <c r="PEM166" s="22"/>
      <c r="PEN166" s="22"/>
      <c r="PEO166" s="22"/>
      <c r="PEP166" s="22"/>
      <c r="PEQ166" s="22"/>
      <c r="PER166" s="22"/>
      <c r="PES166" s="22"/>
      <c r="PET166" s="22"/>
      <c r="PEU166" s="22"/>
      <c r="PEV166" s="22"/>
      <c r="PEW166" s="22"/>
      <c r="PEX166" s="22"/>
      <c r="PEY166" s="22"/>
      <c r="PEZ166" s="22"/>
      <c r="PFA166" s="22"/>
      <c r="PFB166" s="22"/>
      <c r="PFC166" s="22"/>
      <c r="PFD166" s="22"/>
      <c r="PFE166" s="22"/>
      <c r="PFF166" s="22"/>
      <c r="PFG166" s="22"/>
      <c r="PFH166" s="22"/>
      <c r="PFI166" s="22"/>
      <c r="PFJ166" s="22"/>
      <c r="PFK166" s="22"/>
      <c r="PFL166" s="22"/>
      <c r="PFM166" s="22"/>
      <c r="PFN166" s="22"/>
      <c r="PFO166" s="22"/>
      <c r="PFP166" s="22"/>
      <c r="PFQ166" s="22"/>
      <c r="PFR166" s="22"/>
      <c r="PFS166" s="22"/>
      <c r="PFT166" s="22"/>
      <c r="PFU166" s="22"/>
      <c r="PFV166" s="22"/>
      <c r="PFW166" s="22"/>
      <c r="PFX166" s="22"/>
      <c r="PFY166" s="22"/>
      <c r="PFZ166" s="22"/>
      <c r="PGA166" s="22"/>
      <c r="PGB166" s="22"/>
      <c r="PGC166" s="22"/>
      <c r="PGD166" s="22"/>
      <c r="PGE166" s="22"/>
      <c r="PGF166" s="22"/>
      <c r="PGG166" s="22"/>
      <c r="PGH166" s="22"/>
      <c r="PGI166" s="22"/>
      <c r="PGJ166" s="22"/>
      <c r="PGK166" s="22"/>
      <c r="PGL166" s="22"/>
      <c r="PGM166" s="22"/>
      <c r="PGN166" s="22"/>
      <c r="PGO166" s="22"/>
      <c r="PGP166" s="22"/>
      <c r="PGQ166" s="22"/>
      <c r="PGR166" s="22"/>
      <c r="PGS166" s="22"/>
      <c r="PGT166" s="22"/>
      <c r="PGU166" s="22"/>
      <c r="PGV166" s="22"/>
      <c r="PGW166" s="22"/>
      <c r="PGX166" s="22"/>
      <c r="PGY166" s="22"/>
      <c r="PGZ166" s="22"/>
      <c r="PHA166" s="22"/>
      <c r="PHB166" s="22"/>
      <c r="PHC166" s="22"/>
      <c r="PHD166" s="22"/>
      <c r="PHE166" s="22"/>
      <c r="PHF166" s="22"/>
      <c r="PHG166" s="22"/>
      <c r="PHH166" s="22"/>
      <c r="PHI166" s="22"/>
      <c r="PHJ166" s="22"/>
      <c r="PHK166" s="22"/>
      <c r="PHL166" s="22"/>
      <c r="PHM166" s="22"/>
      <c r="PHN166" s="22"/>
      <c r="PHO166" s="22"/>
      <c r="PHP166" s="22"/>
      <c r="PHQ166" s="22"/>
      <c r="PHR166" s="22"/>
      <c r="PHS166" s="22"/>
      <c r="PHT166" s="22"/>
      <c r="PHU166" s="22"/>
      <c r="PHV166" s="22"/>
      <c r="PHW166" s="22"/>
      <c r="PHX166" s="22"/>
      <c r="PHY166" s="22"/>
      <c r="PHZ166" s="22"/>
      <c r="PIA166" s="22"/>
      <c r="PIB166" s="22"/>
      <c r="PIC166" s="22"/>
      <c r="PID166" s="22"/>
      <c r="PIE166" s="22"/>
      <c r="PIF166" s="22"/>
      <c r="PIG166" s="22"/>
      <c r="PIH166" s="22"/>
      <c r="PII166" s="22"/>
      <c r="PIJ166" s="22"/>
      <c r="PIK166" s="22"/>
      <c r="PIL166" s="22"/>
      <c r="PIM166" s="22"/>
      <c r="PIN166" s="22"/>
      <c r="PIO166" s="22"/>
      <c r="PIP166" s="22"/>
      <c r="PIQ166" s="22"/>
      <c r="PIR166" s="22"/>
      <c r="PIS166" s="22"/>
      <c r="PIT166" s="22"/>
      <c r="PIU166" s="22"/>
      <c r="PIV166" s="22"/>
      <c r="PIW166" s="22"/>
      <c r="PIX166" s="22"/>
      <c r="PIY166" s="22"/>
      <c r="PIZ166" s="22"/>
      <c r="PJA166" s="22"/>
      <c r="PJB166" s="22"/>
      <c r="PJC166" s="22"/>
      <c r="PJD166" s="22"/>
      <c r="PJE166" s="22"/>
      <c r="PJF166" s="22"/>
      <c r="PJG166" s="22"/>
      <c r="PJH166" s="22"/>
      <c r="PJI166" s="22"/>
      <c r="PJJ166" s="22"/>
      <c r="PJK166" s="22"/>
      <c r="PJL166" s="22"/>
      <c r="PJM166" s="22"/>
      <c r="PJN166" s="22"/>
      <c r="PJO166" s="22"/>
      <c r="PJP166" s="22"/>
      <c r="PJQ166" s="22"/>
      <c r="PJR166" s="22"/>
      <c r="PJS166" s="22"/>
      <c r="PJT166" s="22"/>
      <c r="PJU166" s="22"/>
      <c r="PJV166" s="22"/>
      <c r="PJW166" s="22"/>
      <c r="PJX166" s="22"/>
      <c r="PJY166" s="22"/>
      <c r="PJZ166" s="22"/>
      <c r="PKA166" s="22"/>
      <c r="PKB166" s="22"/>
      <c r="PKC166" s="22"/>
      <c r="PKD166" s="22"/>
      <c r="PKE166" s="22"/>
      <c r="PKF166" s="22"/>
      <c r="PKG166" s="22"/>
      <c r="PKH166" s="22"/>
      <c r="PKI166" s="22"/>
      <c r="PKJ166" s="22"/>
      <c r="PKK166" s="22"/>
      <c r="PKL166" s="22"/>
      <c r="PKM166" s="22"/>
      <c r="PKN166" s="22"/>
      <c r="PKO166" s="22"/>
      <c r="PKP166" s="22"/>
      <c r="PKQ166" s="22"/>
      <c r="PKR166" s="22"/>
      <c r="PKS166" s="22"/>
      <c r="PKT166" s="22"/>
      <c r="PKU166" s="22"/>
      <c r="PKV166" s="22"/>
      <c r="PKW166" s="22"/>
      <c r="PKX166" s="22"/>
      <c r="PKY166" s="22"/>
      <c r="PKZ166" s="22"/>
      <c r="PLA166" s="22"/>
      <c r="PLB166" s="22"/>
      <c r="PLC166" s="22"/>
      <c r="PLD166" s="22"/>
      <c r="PLE166" s="22"/>
      <c r="PLF166" s="22"/>
      <c r="PLG166" s="22"/>
      <c r="PLH166" s="22"/>
      <c r="PLI166" s="22"/>
      <c r="PLJ166" s="22"/>
      <c r="PLK166" s="22"/>
      <c r="PLL166" s="22"/>
      <c r="PLM166" s="22"/>
      <c r="PLN166" s="22"/>
      <c r="PLO166" s="22"/>
      <c r="PLP166" s="22"/>
      <c r="PLQ166" s="22"/>
      <c r="PLR166" s="22"/>
      <c r="PLS166" s="22"/>
      <c r="PLT166" s="22"/>
      <c r="PLU166" s="22"/>
      <c r="PLV166" s="22"/>
      <c r="PLW166" s="22"/>
      <c r="PLX166" s="22"/>
      <c r="PLY166" s="22"/>
      <c r="PLZ166" s="22"/>
      <c r="PMA166" s="22"/>
      <c r="PMB166" s="22"/>
      <c r="PMC166" s="22"/>
      <c r="PMD166" s="22"/>
      <c r="PME166" s="22"/>
      <c r="PMF166" s="22"/>
      <c r="PMG166" s="22"/>
      <c r="PMH166" s="22"/>
      <c r="PMI166" s="22"/>
      <c r="PMJ166" s="22"/>
      <c r="PMK166" s="22"/>
      <c r="PML166" s="22"/>
      <c r="PMM166" s="22"/>
      <c r="PMN166" s="22"/>
      <c r="PMO166" s="22"/>
      <c r="PMP166" s="22"/>
      <c r="PMQ166" s="22"/>
      <c r="PMR166" s="22"/>
      <c r="PMS166" s="22"/>
      <c r="PMT166" s="22"/>
      <c r="PMU166" s="22"/>
      <c r="PMV166" s="22"/>
      <c r="PMW166" s="22"/>
      <c r="PMX166" s="22"/>
      <c r="PMY166" s="22"/>
      <c r="PMZ166" s="22"/>
      <c r="PNA166" s="22"/>
      <c r="PNB166" s="22"/>
      <c r="PNC166" s="22"/>
      <c r="PND166" s="22"/>
      <c r="PNE166" s="22"/>
      <c r="PNF166" s="22"/>
      <c r="PNG166" s="22"/>
      <c r="PNH166" s="22"/>
      <c r="PNI166" s="22"/>
      <c r="PNJ166" s="22"/>
      <c r="PNK166" s="22"/>
      <c r="PNL166" s="22"/>
      <c r="PNM166" s="22"/>
      <c r="PNN166" s="22"/>
      <c r="PNO166" s="22"/>
      <c r="PNP166" s="22"/>
      <c r="PNQ166" s="22"/>
      <c r="PNR166" s="22"/>
      <c r="PNS166" s="22"/>
      <c r="PNT166" s="22"/>
      <c r="PNU166" s="22"/>
      <c r="PNV166" s="22"/>
      <c r="PNW166" s="22"/>
      <c r="PNX166" s="22"/>
      <c r="PNY166" s="22"/>
      <c r="PNZ166" s="22"/>
      <c r="POA166" s="22"/>
      <c r="POB166" s="22"/>
      <c r="POC166" s="22"/>
      <c r="POD166" s="22"/>
      <c r="POE166" s="22"/>
      <c r="POF166" s="22"/>
      <c r="POG166" s="22"/>
      <c r="POH166" s="22"/>
      <c r="POI166" s="22"/>
      <c r="POJ166" s="22"/>
      <c r="POK166" s="22"/>
      <c r="POL166" s="22"/>
      <c r="POM166" s="22"/>
      <c r="PON166" s="22"/>
      <c r="POO166" s="22"/>
      <c r="POP166" s="22"/>
      <c r="POQ166" s="22"/>
      <c r="POR166" s="22"/>
      <c r="POS166" s="22"/>
      <c r="POT166" s="22"/>
      <c r="POU166" s="22"/>
      <c r="POV166" s="22"/>
      <c r="POW166" s="22"/>
      <c r="POX166" s="22"/>
      <c r="POY166" s="22"/>
      <c r="POZ166" s="22"/>
      <c r="PPA166" s="22"/>
      <c r="PPB166" s="22"/>
      <c r="PPC166" s="22"/>
      <c r="PPD166" s="22"/>
      <c r="PPE166" s="22"/>
      <c r="PPF166" s="22"/>
      <c r="PPG166" s="22"/>
      <c r="PPH166" s="22"/>
      <c r="PPI166" s="22"/>
      <c r="PPJ166" s="22"/>
      <c r="PPK166" s="22"/>
      <c r="PPL166" s="22"/>
      <c r="PPM166" s="22"/>
      <c r="PPN166" s="22"/>
      <c r="PPO166" s="22"/>
      <c r="PPP166" s="22"/>
      <c r="PPQ166" s="22"/>
      <c r="PPR166" s="22"/>
      <c r="PPS166" s="22"/>
      <c r="PPT166" s="22"/>
      <c r="PPU166" s="22"/>
      <c r="PPV166" s="22"/>
      <c r="PPW166" s="22"/>
      <c r="PPX166" s="22"/>
      <c r="PPY166" s="22"/>
      <c r="PPZ166" s="22"/>
      <c r="PQA166" s="22"/>
      <c r="PQB166" s="22"/>
      <c r="PQC166" s="22"/>
      <c r="PQD166" s="22"/>
      <c r="PQE166" s="22"/>
      <c r="PQF166" s="22"/>
      <c r="PQG166" s="22"/>
      <c r="PQH166" s="22"/>
      <c r="PQI166" s="22"/>
      <c r="PQJ166" s="22"/>
      <c r="PQK166" s="22"/>
      <c r="PQL166" s="22"/>
      <c r="PQM166" s="22"/>
      <c r="PQN166" s="22"/>
      <c r="PQO166" s="22"/>
      <c r="PQP166" s="22"/>
      <c r="PQQ166" s="22"/>
      <c r="PQR166" s="22"/>
      <c r="PQS166" s="22"/>
      <c r="PQT166" s="22"/>
      <c r="PQU166" s="22"/>
      <c r="PQV166" s="22"/>
      <c r="PQW166" s="22"/>
      <c r="PQX166" s="22"/>
      <c r="PQY166" s="22"/>
      <c r="PQZ166" s="22"/>
      <c r="PRA166" s="22"/>
      <c r="PRB166" s="22"/>
      <c r="PRC166" s="22"/>
      <c r="PRD166" s="22"/>
      <c r="PRE166" s="22"/>
      <c r="PRF166" s="22"/>
      <c r="PRG166" s="22"/>
      <c r="PRH166" s="22"/>
      <c r="PRI166" s="22"/>
      <c r="PRJ166" s="22"/>
      <c r="PRK166" s="22"/>
      <c r="PRL166" s="22"/>
      <c r="PRM166" s="22"/>
      <c r="PRN166" s="22"/>
      <c r="PRO166" s="22"/>
      <c r="PRP166" s="22"/>
      <c r="PRQ166" s="22"/>
      <c r="PRR166" s="22"/>
      <c r="PRS166" s="22"/>
      <c r="PRT166" s="22"/>
      <c r="PRU166" s="22"/>
      <c r="PRV166" s="22"/>
      <c r="PRW166" s="22"/>
      <c r="PRX166" s="22"/>
      <c r="PRY166" s="22"/>
      <c r="PRZ166" s="22"/>
      <c r="PSA166" s="22"/>
      <c r="PSB166" s="22"/>
      <c r="PSC166" s="22"/>
      <c r="PSD166" s="22"/>
      <c r="PSE166" s="22"/>
      <c r="PSF166" s="22"/>
      <c r="PSG166" s="22"/>
      <c r="PSH166" s="22"/>
      <c r="PSI166" s="22"/>
      <c r="PSJ166" s="22"/>
      <c r="PSK166" s="22"/>
      <c r="PSL166" s="22"/>
      <c r="PSM166" s="22"/>
      <c r="PSN166" s="22"/>
      <c r="PSO166" s="22"/>
      <c r="PSP166" s="22"/>
      <c r="PSQ166" s="22"/>
      <c r="PSR166" s="22"/>
      <c r="PSS166" s="22"/>
      <c r="PST166" s="22"/>
      <c r="PSU166" s="22"/>
      <c r="PSV166" s="22"/>
      <c r="PSW166" s="22"/>
      <c r="PSX166" s="22"/>
      <c r="PSY166" s="22"/>
      <c r="PSZ166" s="22"/>
      <c r="PTA166" s="22"/>
      <c r="PTB166" s="22"/>
      <c r="PTC166" s="22"/>
      <c r="PTD166" s="22"/>
      <c r="PTE166" s="22"/>
      <c r="PTF166" s="22"/>
      <c r="PTG166" s="22"/>
      <c r="PTH166" s="22"/>
      <c r="PTI166" s="22"/>
      <c r="PTJ166" s="22"/>
      <c r="PTK166" s="22"/>
      <c r="PTL166" s="22"/>
      <c r="PTM166" s="22"/>
      <c r="PTN166" s="22"/>
      <c r="PTO166" s="22"/>
      <c r="PTP166" s="22"/>
      <c r="PTQ166" s="22"/>
      <c r="PTR166" s="22"/>
      <c r="PTS166" s="22"/>
      <c r="PTT166" s="22"/>
      <c r="PTU166" s="22"/>
      <c r="PTV166" s="22"/>
      <c r="PTW166" s="22"/>
      <c r="PTX166" s="22"/>
      <c r="PTY166" s="22"/>
      <c r="PTZ166" s="22"/>
      <c r="PUA166" s="22"/>
      <c r="PUB166" s="22"/>
      <c r="PUC166" s="22"/>
      <c r="PUD166" s="22"/>
      <c r="PUE166" s="22"/>
      <c r="PUF166" s="22"/>
      <c r="PUG166" s="22"/>
      <c r="PUH166" s="22"/>
      <c r="PUI166" s="22"/>
      <c r="PUJ166" s="22"/>
      <c r="PUK166" s="22"/>
      <c r="PUL166" s="22"/>
      <c r="PUM166" s="22"/>
      <c r="PUN166" s="22"/>
      <c r="PUO166" s="22"/>
      <c r="PUP166" s="22"/>
      <c r="PUQ166" s="22"/>
      <c r="PUR166" s="22"/>
      <c r="PUS166" s="22"/>
      <c r="PUT166" s="22"/>
      <c r="PUU166" s="22"/>
      <c r="PUV166" s="22"/>
      <c r="PUW166" s="22"/>
      <c r="PUX166" s="22"/>
      <c r="PUY166" s="22"/>
      <c r="PUZ166" s="22"/>
      <c r="PVA166" s="22"/>
      <c r="PVB166" s="22"/>
      <c r="PVC166" s="22"/>
      <c r="PVD166" s="22"/>
      <c r="PVE166" s="22"/>
      <c r="PVF166" s="22"/>
      <c r="PVG166" s="22"/>
      <c r="PVH166" s="22"/>
      <c r="PVI166" s="22"/>
      <c r="PVJ166" s="22"/>
      <c r="PVK166" s="22"/>
      <c r="PVL166" s="22"/>
      <c r="PVM166" s="22"/>
      <c r="PVN166" s="22"/>
      <c r="PVO166" s="22"/>
      <c r="PVP166" s="22"/>
      <c r="PVQ166" s="22"/>
      <c r="PVR166" s="22"/>
      <c r="PVS166" s="22"/>
      <c r="PVT166" s="22"/>
      <c r="PVU166" s="22"/>
      <c r="PVV166" s="22"/>
      <c r="PVW166" s="22"/>
      <c r="PVX166" s="22"/>
      <c r="PVY166" s="22"/>
      <c r="PVZ166" s="22"/>
      <c r="PWA166" s="22"/>
      <c r="PWB166" s="22"/>
      <c r="PWC166" s="22"/>
      <c r="PWD166" s="22"/>
      <c r="PWE166" s="22"/>
      <c r="PWF166" s="22"/>
      <c r="PWG166" s="22"/>
      <c r="PWH166" s="22"/>
      <c r="PWI166" s="22"/>
      <c r="PWJ166" s="22"/>
      <c r="PWK166" s="22"/>
      <c r="PWL166" s="22"/>
      <c r="PWM166" s="22"/>
      <c r="PWN166" s="22"/>
      <c r="PWO166" s="22"/>
      <c r="PWP166" s="22"/>
      <c r="PWQ166" s="22"/>
      <c r="PWR166" s="22"/>
      <c r="PWS166" s="22"/>
      <c r="PWT166" s="22"/>
      <c r="PWU166" s="22"/>
      <c r="PWV166" s="22"/>
      <c r="PWW166" s="22"/>
      <c r="PWX166" s="22"/>
      <c r="PWY166" s="22"/>
      <c r="PWZ166" s="22"/>
      <c r="PXA166" s="22"/>
      <c r="PXB166" s="22"/>
      <c r="PXC166" s="22"/>
      <c r="PXD166" s="22"/>
      <c r="PXE166" s="22"/>
      <c r="PXF166" s="22"/>
      <c r="PXG166" s="22"/>
      <c r="PXH166" s="22"/>
      <c r="PXI166" s="22"/>
      <c r="PXJ166" s="22"/>
      <c r="PXK166" s="22"/>
      <c r="PXL166" s="22"/>
      <c r="PXM166" s="22"/>
      <c r="PXN166" s="22"/>
      <c r="PXO166" s="22"/>
      <c r="PXP166" s="22"/>
      <c r="PXQ166" s="22"/>
      <c r="PXR166" s="22"/>
      <c r="PXS166" s="22"/>
      <c r="PXT166" s="22"/>
      <c r="PXU166" s="22"/>
      <c r="PXV166" s="22"/>
      <c r="PXW166" s="22"/>
      <c r="PXX166" s="22"/>
      <c r="PXY166" s="22"/>
      <c r="PXZ166" s="22"/>
      <c r="PYA166" s="22"/>
      <c r="PYB166" s="22"/>
      <c r="PYC166" s="22"/>
      <c r="PYD166" s="22"/>
      <c r="PYE166" s="22"/>
      <c r="PYF166" s="22"/>
      <c r="PYG166" s="22"/>
      <c r="PYH166" s="22"/>
      <c r="PYI166" s="22"/>
      <c r="PYJ166" s="22"/>
      <c r="PYK166" s="22"/>
      <c r="PYL166" s="22"/>
      <c r="PYM166" s="22"/>
      <c r="PYN166" s="22"/>
      <c r="PYO166" s="22"/>
      <c r="PYP166" s="22"/>
      <c r="PYQ166" s="22"/>
      <c r="PYR166" s="22"/>
      <c r="PYS166" s="22"/>
      <c r="PYT166" s="22"/>
      <c r="PYU166" s="22"/>
      <c r="PYV166" s="22"/>
      <c r="PYW166" s="22"/>
      <c r="PYX166" s="22"/>
      <c r="PYY166" s="22"/>
      <c r="PYZ166" s="22"/>
      <c r="PZA166" s="22"/>
      <c r="PZB166" s="22"/>
      <c r="PZC166" s="22"/>
      <c r="PZD166" s="22"/>
      <c r="PZE166" s="22"/>
      <c r="PZF166" s="22"/>
      <c r="PZG166" s="22"/>
      <c r="PZH166" s="22"/>
      <c r="PZI166" s="22"/>
      <c r="PZJ166" s="22"/>
      <c r="PZK166" s="22"/>
      <c r="PZL166" s="22"/>
      <c r="PZM166" s="22"/>
      <c r="PZN166" s="22"/>
      <c r="PZO166" s="22"/>
      <c r="PZP166" s="22"/>
      <c r="PZQ166" s="22"/>
      <c r="PZR166" s="22"/>
      <c r="PZS166" s="22"/>
      <c r="PZT166" s="22"/>
      <c r="PZU166" s="22"/>
      <c r="PZV166" s="22"/>
      <c r="PZW166" s="22"/>
      <c r="PZX166" s="22"/>
      <c r="PZY166" s="22"/>
      <c r="PZZ166" s="22"/>
      <c r="QAA166" s="22"/>
      <c r="QAB166" s="22"/>
      <c r="QAC166" s="22"/>
      <c r="QAD166" s="22"/>
      <c r="QAE166" s="22"/>
      <c r="QAF166" s="22"/>
      <c r="QAG166" s="22"/>
      <c r="QAH166" s="22"/>
      <c r="QAI166" s="22"/>
      <c r="QAJ166" s="22"/>
      <c r="QAK166" s="22"/>
      <c r="QAL166" s="22"/>
      <c r="QAM166" s="22"/>
      <c r="QAN166" s="22"/>
      <c r="QAO166" s="22"/>
      <c r="QAP166" s="22"/>
      <c r="QAQ166" s="22"/>
      <c r="QAR166" s="22"/>
      <c r="QAS166" s="22"/>
      <c r="QAT166" s="22"/>
      <c r="QAU166" s="22"/>
      <c r="QAV166" s="22"/>
      <c r="QAW166" s="22"/>
      <c r="QAX166" s="22"/>
      <c r="QAY166" s="22"/>
      <c r="QAZ166" s="22"/>
      <c r="QBA166" s="22"/>
      <c r="QBB166" s="22"/>
      <c r="QBC166" s="22"/>
      <c r="QBD166" s="22"/>
      <c r="QBE166" s="22"/>
      <c r="QBF166" s="22"/>
      <c r="QBG166" s="22"/>
      <c r="QBH166" s="22"/>
      <c r="QBI166" s="22"/>
      <c r="QBJ166" s="22"/>
      <c r="QBK166" s="22"/>
      <c r="QBL166" s="22"/>
      <c r="QBM166" s="22"/>
      <c r="QBN166" s="22"/>
      <c r="QBO166" s="22"/>
      <c r="QBP166" s="22"/>
      <c r="QBQ166" s="22"/>
      <c r="QBR166" s="22"/>
      <c r="QBS166" s="22"/>
      <c r="QBT166" s="22"/>
      <c r="QBU166" s="22"/>
      <c r="QBV166" s="22"/>
      <c r="QBW166" s="22"/>
      <c r="QBX166" s="22"/>
      <c r="QBY166" s="22"/>
      <c r="QBZ166" s="22"/>
      <c r="QCA166" s="22"/>
      <c r="QCB166" s="22"/>
      <c r="QCC166" s="22"/>
      <c r="QCD166" s="22"/>
      <c r="QCE166" s="22"/>
      <c r="QCF166" s="22"/>
      <c r="QCG166" s="22"/>
      <c r="QCH166" s="22"/>
      <c r="QCI166" s="22"/>
      <c r="QCJ166" s="22"/>
      <c r="QCK166" s="22"/>
      <c r="QCL166" s="22"/>
      <c r="QCM166" s="22"/>
      <c r="QCN166" s="22"/>
      <c r="QCO166" s="22"/>
      <c r="QCP166" s="22"/>
      <c r="QCQ166" s="22"/>
      <c r="QCR166" s="22"/>
      <c r="QCS166" s="22"/>
      <c r="QCT166" s="22"/>
      <c r="QCU166" s="22"/>
      <c r="QCV166" s="22"/>
      <c r="QCW166" s="22"/>
      <c r="QCX166" s="22"/>
      <c r="QCY166" s="22"/>
      <c r="QCZ166" s="22"/>
      <c r="QDA166" s="22"/>
      <c r="QDB166" s="22"/>
      <c r="QDC166" s="22"/>
      <c r="QDD166" s="22"/>
      <c r="QDE166" s="22"/>
      <c r="QDF166" s="22"/>
      <c r="QDG166" s="22"/>
      <c r="QDH166" s="22"/>
      <c r="QDI166" s="22"/>
      <c r="QDJ166" s="22"/>
      <c r="QDK166" s="22"/>
      <c r="QDL166" s="22"/>
      <c r="QDM166" s="22"/>
      <c r="QDN166" s="22"/>
      <c r="QDO166" s="22"/>
      <c r="QDP166" s="22"/>
      <c r="QDQ166" s="22"/>
      <c r="QDR166" s="22"/>
      <c r="QDS166" s="22"/>
      <c r="QDT166" s="22"/>
      <c r="QDU166" s="22"/>
      <c r="QDV166" s="22"/>
      <c r="QDW166" s="22"/>
      <c r="QDX166" s="22"/>
      <c r="QDY166" s="22"/>
      <c r="QDZ166" s="22"/>
      <c r="QEA166" s="22"/>
      <c r="QEB166" s="22"/>
      <c r="QEC166" s="22"/>
      <c r="QED166" s="22"/>
      <c r="QEE166" s="22"/>
      <c r="QEF166" s="22"/>
      <c r="QEG166" s="22"/>
      <c r="QEH166" s="22"/>
      <c r="QEI166" s="22"/>
      <c r="QEJ166" s="22"/>
      <c r="QEK166" s="22"/>
      <c r="QEL166" s="22"/>
      <c r="QEM166" s="22"/>
      <c r="QEN166" s="22"/>
      <c r="QEO166" s="22"/>
      <c r="QEP166" s="22"/>
      <c r="QEQ166" s="22"/>
      <c r="QER166" s="22"/>
      <c r="QES166" s="22"/>
      <c r="QET166" s="22"/>
      <c r="QEU166" s="22"/>
      <c r="QEV166" s="22"/>
      <c r="QEW166" s="22"/>
      <c r="QEX166" s="22"/>
      <c r="QEY166" s="22"/>
      <c r="QEZ166" s="22"/>
      <c r="QFA166" s="22"/>
      <c r="QFB166" s="22"/>
      <c r="QFC166" s="22"/>
      <c r="QFD166" s="22"/>
      <c r="QFE166" s="22"/>
      <c r="QFF166" s="22"/>
      <c r="QFG166" s="22"/>
      <c r="QFH166" s="22"/>
      <c r="QFI166" s="22"/>
      <c r="QFJ166" s="22"/>
      <c r="QFK166" s="22"/>
      <c r="QFL166" s="22"/>
      <c r="QFM166" s="22"/>
      <c r="QFN166" s="22"/>
      <c r="QFO166" s="22"/>
      <c r="QFP166" s="22"/>
      <c r="QFQ166" s="22"/>
      <c r="QFR166" s="22"/>
      <c r="QFS166" s="22"/>
      <c r="QFT166" s="22"/>
      <c r="QFU166" s="22"/>
      <c r="QFV166" s="22"/>
      <c r="QFW166" s="22"/>
      <c r="QFX166" s="22"/>
      <c r="QFY166" s="22"/>
      <c r="QFZ166" s="22"/>
      <c r="QGA166" s="22"/>
      <c r="QGB166" s="22"/>
      <c r="QGC166" s="22"/>
      <c r="QGD166" s="22"/>
      <c r="QGE166" s="22"/>
      <c r="QGF166" s="22"/>
      <c r="QGG166" s="22"/>
      <c r="QGH166" s="22"/>
      <c r="QGI166" s="22"/>
      <c r="QGJ166" s="22"/>
      <c r="QGK166" s="22"/>
      <c r="QGL166" s="22"/>
      <c r="QGM166" s="22"/>
      <c r="QGN166" s="22"/>
      <c r="QGO166" s="22"/>
      <c r="QGP166" s="22"/>
      <c r="QGQ166" s="22"/>
      <c r="QGR166" s="22"/>
      <c r="QGS166" s="22"/>
      <c r="QGT166" s="22"/>
      <c r="QGU166" s="22"/>
      <c r="QGV166" s="22"/>
      <c r="QGW166" s="22"/>
      <c r="QGX166" s="22"/>
      <c r="QGY166" s="22"/>
      <c r="QGZ166" s="22"/>
      <c r="QHA166" s="22"/>
      <c r="QHB166" s="22"/>
      <c r="QHC166" s="22"/>
      <c r="QHD166" s="22"/>
      <c r="QHE166" s="22"/>
      <c r="QHF166" s="22"/>
      <c r="QHG166" s="22"/>
      <c r="QHH166" s="22"/>
      <c r="QHI166" s="22"/>
      <c r="QHJ166" s="22"/>
      <c r="QHK166" s="22"/>
      <c r="QHL166" s="22"/>
      <c r="QHM166" s="22"/>
      <c r="QHN166" s="22"/>
      <c r="QHO166" s="22"/>
      <c r="QHP166" s="22"/>
      <c r="QHQ166" s="22"/>
      <c r="QHR166" s="22"/>
      <c r="QHS166" s="22"/>
      <c r="QHT166" s="22"/>
      <c r="QHU166" s="22"/>
      <c r="QHV166" s="22"/>
      <c r="QHW166" s="22"/>
      <c r="QHX166" s="22"/>
      <c r="QHY166" s="22"/>
      <c r="QHZ166" s="22"/>
      <c r="QIA166" s="22"/>
      <c r="QIB166" s="22"/>
      <c r="QIC166" s="22"/>
      <c r="QID166" s="22"/>
      <c r="QIE166" s="22"/>
      <c r="QIF166" s="22"/>
      <c r="QIG166" s="22"/>
      <c r="QIH166" s="22"/>
      <c r="QII166" s="22"/>
      <c r="QIJ166" s="22"/>
      <c r="QIK166" s="22"/>
      <c r="QIL166" s="22"/>
      <c r="QIM166" s="22"/>
      <c r="QIN166" s="22"/>
      <c r="QIO166" s="22"/>
      <c r="QIP166" s="22"/>
      <c r="QIQ166" s="22"/>
      <c r="QIR166" s="22"/>
      <c r="QIS166" s="22"/>
      <c r="QIT166" s="22"/>
      <c r="QIU166" s="22"/>
      <c r="QIV166" s="22"/>
      <c r="QIW166" s="22"/>
      <c r="QIX166" s="22"/>
      <c r="QIY166" s="22"/>
      <c r="QIZ166" s="22"/>
      <c r="QJA166" s="22"/>
      <c r="QJB166" s="22"/>
      <c r="QJC166" s="22"/>
      <c r="QJD166" s="22"/>
      <c r="QJE166" s="22"/>
      <c r="QJF166" s="22"/>
      <c r="QJG166" s="22"/>
      <c r="QJH166" s="22"/>
      <c r="QJI166" s="22"/>
      <c r="QJJ166" s="22"/>
      <c r="QJK166" s="22"/>
      <c r="QJL166" s="22"/>
      <c r="QJM166" s="22"/>
      <c r="QJN166" s="22"/>
      <c r="QJO166" s="22"/>
      <c r="QJP166" s="22"/>
      <c r="QJQ166" s="22"/>
      <c r="QJR166" s="22"/>
      <c r="QJS166" s="22"/>
      <c r="QJT166" s="22"/>
      <c r="QJU166" s="22"/>
      <c r="QJV166" s="22"/>
      <c r="QJW166" s="22"/>
      <c r="QJX166" s="22"/>
      <c r="QJY166" s="22"/>
      <c r="QJZ166" s="22"/>
      <c r="QKA166" s="22"/>
      <c r="QKB166" s="22"/>
      <c r="QKC166" s="22"/>
      <c r="QKD166" s="22"/>
      <c r="QKE166" s="22"/>
      <c r="QKF166" s="22"/>
      <c r="QKG166" s="22"/>
      <c r="QKH166" s="22"/>
      <c r="QKI166" s="22"/>
      <c r="QKJ166" s="22"/>
      <c r="QKK166" s="22"/>
      <c r="QKL166" s="22"/>
      <c r="QKM166" s="22"/>
      <c r="QKN166" s="22"/>
      <c r="QKO166" s="22"/>
      <c r="QKP166" s="22"/>
      <c r="QKQ166" s="22"/>
      <c r="QKR166" s="22"/>
      <c r="QKS166" s="22"/>
      <c r="QKT166" s="22"/>
      <c r="QKU166" s="22"/>
      <c r="QKV166" s="22"/>
      <c r="QKW166" s="22"/>
      <c r="QKX166" s="22"/>
      <c r="QKY166" s="22"/>
      <c r="QKZ166" s="22"/>
      <c r="QLA166" s="22"/>
      <c r="QLB166" s="22"/>
      <c r="QLC166" s="22"/>
      <c r="QLD166" s="22"/>
      <c r="QLE166" s="22"/>
      <c r="QLF166" s="22"/>
      <c r="QLG166" s="22"/>
      <c r="QLH166" s="22"/>
      <c r="QLI166" s="22"/>
      <c r="QLJ166" s="22"/>
      <c r="QLK166" s="22"/>
      <c r="QLL166" s="22"/>
      <c r="QLM166" s="22"/>
      <c r="QLN166" s="22"/>
      <c r="QLO166" s="22"/>
      <c r="QLP166" s="22"/>
      <c r="QLQ166" s="22"/>
      <c r="QLR166" s="22"/>
      <c r="QLS166" s="22"/>
      <c r="QLT166" s="22"/>
      <c r="QLU166" s="22"/>
      <c r="QLV166" s="22"/>
      <c r="QLW166" s="22"/>
      <c r="QLX166" s="22"/>
      <c r="QLY166" s="22"/>
      <c r="QLZ166" s="22"/>
      <c r="QMA166" s="22"/>
      <c r="QMB166" s="22"/>
      <c r="QMC166" s="22"/>
      <c r="QMD166" s="22"/>
      <c r="QME166" s="22"/>
      <c r="QMF166" s="22"/>
      <c r="QMG166" s="22"/>
      <c r="QMH166" s="22"/>
      <c r="QMI166" s="22"/>
      <c r="QMJ166" s="22"/>
      <c r="QMK166" s="22"/>
      <c r="QML166" s="22"/>
      <c r="QMM166" s="22"/>
      <c r="QMN166" s="22"/>
      <c r="QMO166" s="22"/>
      <c r="QMP166" s="22"/>
      <c r="QMQ166" s="22"/>
      <c r="QMR166" s="22"/>
      <c r="QMS166" s="22"/>
      <c r="QMT166" s="22"/>
      <c r="QMU166" s="22"/>
      <c r="QMV166" s="22"/>
      <c r="QMW166" s="22"/>
      <c r="QMX166" s="22"/>
      <c r="QMY166" s="22"/>
      <c r="QMZ166" s="22"/>
      <c r="QNA166" s="22"/>
      <c r="QNB166" s="22"/>
      <c r="QNC166" s="22"/>
      <c r="QND166" s="22"/>
      <c r="QNE166" s="22"/>
      <c r="QNF166" s="22"/>
      <c r="QNG166" s="22"/>
      <c r="QNH166" s="22"/>
      <c r="QNI166" s="22"/>
      <c r="QNJ166" s="22"/>
      <c r="QNK166" s="22"/>
      <c r="QNL166" s="22"/>
      <c r="QNM166" s="22"/>
      <c r="QNN166" s="22"/>
      <c r="QNO166" s="22"/>
      <c r="QNP166" s="22"/>
      <c r="QNQ166" s="22"/>
      <c r="QNR166" s="22"/>
      <c r="QNS166" s="22"/>
      <c r="QNT166" s="22"/>
      <c r="QNU166" s="22"/>
      <c r="QNV166" s="22"/>
      <c r="QNW166" s="22"/>
      <c r="QNX166" s="22"/>
      <c r="QNY166" s="22"/>
      <c r="QNZ166" s="22"/>
      <c r="QOA166" s="22"/>
      <c r="QOB166" s="22"/>
      <c r="QOC166" s="22"/>
      <c r="QOD166" s="22"/>
      <c r="QOE166" s="22"/>
      <c r="QOF166" s="22"/>
      <c r="QOG166" s="22"/>
      <c r="QOH166" s="22"/>
      <c r="QOI166" s="22"/>
      <c r="QOJ166" s="22"/>
      <c r="QOK166" s="22"/>
      <c r="QOL166" s="22"/>
      <c r="QOM166" s="22"/>
      <c r="QON166" s="22"/>
      <c r="QOO166" s="22"/>
      <c r="QOP166" s="22"/>
      <c r="QOQ166" s="22"/>
      <c r="QOR166" s="22"/>
      <c r="QOS166" s="22"/>
      <c r="QOT166" s="22"/>
      <c r="QOU166" s="22"/>
      <c r="QOV166" s="22"/>
      <c r="QOW166" s="22"/>
      <c r="QOX166" s="22"/>
      <c r="QOY166" s="22"/>
      <c r="QOZ166" s="22"/>
      <c r="QPA166" s="22"/>
      <c r="QPB166" s="22"/>
      <c r="QPC166" s="22"/>
      <c r="QPD166" s="22"/>
      <c r="QPE166" s="22"/>
      <c r="QPF166" s="22"/>
      <c r="QPG166" s="22"/>
      <c r="QPH166" s="22"/>
      <c r="QPI166" s="22"/>
      <c r="QPJ166" s="22"/>
      <c r="QPK166" s="22"/>
      <c r="QPL166" s="22"/>
      <c r="QPM166" s="22"/>
      <c r="QPN166" s="22"/>
      <c r="QPO166" s="22"/>
      <c r="QPP166" s="22"/>
      <c r="QPQ166" s="22"/>
      <c r="QPR166" s="22"/>
      <c r="QPS166" s="22"/>
      <c r="QPT166" s="22"/>
      <c r="QPU166" s="22"/>
      <c r="QPV166" s="22"/>
      <c r="QPW166" s="22"/>
      <c r="QPX166" s="22"/>
      <c r="QPY166" s="22"/>
      <c r="QPZ166" s="22"/>
      <c r="QQA166" s="22"/>
      <c r="QQB166" s="22"/>
      <c r="QQC166" s="22"/>
      <c r="QQD166" s="22"/>
      <c r="QQE166" s="22"/>
      <c r="QQF166" s="22"/>
      <c r="QQG166" s="22"/>
      <c r="QQH166" s="22"/>
      <c r="QQI166" s="22"/>
      <c r="QQJ166" s="22"/>
      <c r="QQK166" s="22"/>
      <c r="QQL166" s="22"/>
      <c r="QQM166" s="22"/>
      <c r="QQN166" s="22"/>
      <c r="QQO166" s="22"/>
      <c r="QQP166" s="22"/>
      <c r="QQQ166" s="22"/>
      <c r="QQR166" s="22"/>
      <c r="QQS166" s="22"/>
      <c r="QQT166" s="22"/>
      <c r="QQU166" s="22"/>
      <c r="QQV166" s="22"/>
      <c r="QQW166" s="22"/>
      <c r="QQX166" s="22"/>
      <c r="QQY166" s="22"/>
      <c r="QQZ166" s="22"/>
      <c r="QRA166" s="22"/>
      <c r="QRB166" s="22"/>
      <c r="QRC166" s="22"/>
      <c r="QRD166" s="22"/>
      <c r="QRE166" s="22"/>
      <c r="QRF166" s="22"/>
      <c r="QRG166" s="22"/>
      <c r="QRH166" s="22"/>
      <c r="QRI166" s="22"/>
      <c r="QRJ166" s="22"/>
      <c r="QRK166" s="22"/>
      <c r="QRL166" s="22"/>
      <c r="QRM166" s="22"/>
      <c r="QRN166" s="22"/>
      <c r="QRO166" s="22"/>
      <c r="QRP166" s="22"/>
      <c r="QRQ166" s="22"/>
      <c r="QRR166" s="22"/>
      <c r="QRS166" s="22"/>
      <c r="QRT166" s="22"/>
      <c r="QRU166" s="22"/>
      <c r="QRV166" s="22"/>
      <c r="QRW166" s="22"/>
      <c r="QRX166" s="22"/>
      <c r="QRY166" s="22"/>
      <c r="QRZ166" s="22"/>
      <c r="QSA166" s="22"/>
      <c r="QSB166" s="22"/>
      <c r="QSC166" s="22"/>
      <c r="QSD166" s="22"/>
      <c r="QSE166" s="22"/>
      <c r="QSF166" s="22"/>
      <c r="QSG166" s="22"/>
      <c r="QSH166" s="22"/>
      <c r="QSI166" s="22"/>
      <c r="QSJ166" s="22"/>
      <c r="QSK166" s="22"/>
      <c r="QSL166" s="22"/>
      <c r="QSM166" s="22"/>
      <c r="QSN166" s="22"/>
      <c r="QSO166" s="22"/>
      <c r="QSP166" s="22"/>
      <c r="QSQ166" s="22"/>
      <c r="QSR166" s="22"/>
      <c r="QSS166" s="22"/>
      <c r="QST166" s="22"/>
      <c r="QSU166" s="22"/>
      <c r="QSV166" s="22"/>
      <c r="QSW166" s="22"/>
      <c r="QSX166" s="22"/>
      <c r="QSY166" s="22"/>
      <c r="QSZ166" s="22"/>
      <c r="QTA166" s="22"/>
      <c r="QTB166" s="22"/>
      <c r="QTC166" s="22"/>
      <c r="QTD166" s="22"/>
      <c r="QTE166" s="22"/>
      <c r="QTF166" s="22"/>
      <c r="QTG166" s="22"/>
      <c r="QTH166" s="22"/>
      <c r="QTI166" s="22"/>
      <c r="QTJ166" s="22"/>
      <c r="QTK166" s="22"/>
      <c r="QTL166" s="22"/>
      <c r="QTM166" s="22"/>
      <c r="QTN166" s="22"/>
      <c r="QTO166" s="22"/>
      <c r="QTP166" s="22"/>
      <c r="QTQ166" s="22"/>
      <c r="QTR166" s="22"/>
      <c r="QTS166" s="22"/>
      <c r="QTT166" s="22"/>
      <c r="QTU166" s="22"/>
      <c r="QTV166" s="22"/>
      <c r="QTW166" s="22"/>
      <c r="QTX166" s="22"/>
      <c r="QTY166" s="22"/>
      <c r="QTZ166" s="22"/>
      <c r="QUA166" s="22"/>
      <c r="QUB166" s="22"/>
      <c r="QUC166" s="22"/>
      <c r="QUD166" s="22"/>
      <c r="QUE166" s="22"/>
      <c r="QUF166" s="22"/>
      <c r="QUG166" s="22"/>
      <c r="QUH166" s="22"/>
      <c r="QUI166" s="22"/>
      <c r="QUJ166" s="22"/>
      <c r="QUK166" s="22"/>
      <c r="QUL166" s="22"/>
      <c r="QUM166" s="22"/>
      <c r="QUN166" s="22"/>
      <c r="QUO166" s="22"/>
      <c r="QUP166" s="22"/>
      <c r="QUQ166" s="22"/>
      <c r="QUR166" s="22"/>
      <c r="QUS166" s="22"/>
      <c r="QUT166" s="22"/>
      <c r="QUU166" s="22"/>
      <c r="QUV166" s="22"/>
      <c r="QUW166" s="22"/>
      <c r="QUX166" s="22"/>
      <c r="QUY166" s="22"/>
      <c r="QUZ166" s="22"/>
      <c r="QVA166" s="22"/>
      <c r="QVB166" s="22"/>
      <c r="QVC166" s="22"/>
      <c r="QVD166" s="22"/>
      <c r="QVE166" s="22"/>
      <c r="QVF166" s="22"/>
      <c r="QVG166" s="22"/>
      <c r="QVH166" s="22"/>
      <c r="QVI166" s="22"/>
      <c r="QVJ166" s="22"/>
      <c r="QVK166" s="22"/>
      <c r="QVL166" s="22"/>
      <c r="QVM166" s="22"/>
      <c r="QVN166" s="22"/>
      <c r="QVO166" s="22"/>
      <c r="QVP166" s="22"/>
      <c r="QVQ166" s="22"/>
      <c r="QVR166" s="22"/>
      <c r="QVS166" s="22"/>
      <c r="QVT166" s="22"/>
      <c r="QVU166" s="22"/>
      <c r="QVV166" s="22"/>
      <c r="QVW166" s="22"/>
      <c r="QVX166" s="22"/>
      <c r="QVY166" s="22"/>
      <c r="QVZ166" s="22"/>
      <c r="QWA166" s="22"/>
      <c r="QWB166" s="22"/>
      <c r="QWC166" s="22"/>
      <c r="QWD166" s="22"/>
      <c r="QWE166" s="22"/>
      <c r="QWF166" s="22"/>
      <c r="QWG166" s="22"/>
      <c r="QWH166" s="22"/>
      <c r="QWI166" s="22"/>
      <c r="QWJ166" s="22"/>
      <c r="QWK166" s="22"/>
      <c r="QWL166" s="22"/>
      <c r="QWM166" s="22"/>
      <c r="QWN166" s="22"/>
      <c r="QWO166" s="22"/>
      <c r="QWP166" s="22"/>
      <c r="QWQ166" s="22"/>
      <c r="QWR166" s="22"/>
      <c r="QWS166" s="22"/>
      <c r="QWT166" s="22"/>
      <c r="QWU166" s="22"/>
      <c r="QWV166" s="22"/>
      <c r="QWW166" s="22"/>
      <c r="QWX166" s="22"/>
      <c r="QWY166" s="22"/>
      <c r="QWZ166" s="22"/>
      <c r="QXA166" s="22"/>
      <c r="QXB166" s="22"/>
      <c r="QXC166" s="22"/>
      <c r="QXD166" s="22"/>
      <c r="QXE166" s="22"/>
      <c r="QXF166" s="22"/>
      <c r="QXG166" s="22"/>
      <c r="QXH166" s="22"/>
      <c r="QXI166" s="22"/>
      <c r="QXJ166" s="22"/>
      <c r="QXK166" s="22"/>
      <c r="QXL166" s="22"/>
      <c r="QXM166" s="22"/>
      <c r="QXN166" s="22"/>
      <c r="QXO166" s="22"/>
      <c r="QXP166" s="22"/>
      <c r="QXQ166" s="22"/>
      <c r="QXR166" s="22"/>
      <c r="QXS166" s="22"/>
      <c r="QXT166" s="22"/>
      <c r="QXU166" s="22"/>
      <c r="QXV166" s="22"/>
      <c r="QXW166" s="22"/>
      <c r="QXX166" s="22"/>
      <c r="QXY166" s="22"/>
      <c r="QXZ166" s="22"/>
      <c r="QYA166" s="22"/>
      <c r="QYB166" s="22"/>
      <c r="QYC166" s="22"/>
      <c r="QYD166" s="22"/>
      <c r="QYE166" s="22"/>
      <c r="QYF166" s="22"/>
      <c r="QYG166" s="22"/>
      <c r="QYH166" s="22"/>
      <c r="QYI166" s="22"/>
      <c r="QYJ166" s="22"/>
      <c r="QYK166" s="22"/>
      <c r="QYL166" s="22"/>
      <c r="QYM166" s="22"/>
      <c r="QYN166" s="22"/>
      <c r="QYO166" s="22"/>
      <c r="QYP166" s="22"/>
      <c r="QYQ166" s="22"/>
      <c r="QYR166" s="22"/>
      <c r="QYS166" s="22"/>
      <c r="QYT166" s="22"/>
      <c r="QYU166" s="22"/>
      <c r="QYV166" s="22"/>
      <c r="QYW166" s="22"/>
      <c r="QYX166" s="22"/>
      <c r="QYY166" s="22"/>
      <c r="QYZ166" s="22"/>
      <c r="QZA166" s="22"/>
      <c r="QZB166" s="22"/>
      <c r="QZC166" s="22"/>
      <c r="QZD166" s="22"/>
      <c r="QZE166" s="22"/>
      <c r="QZF166" s="22"/>
      <c r="QZG166" s="22"/>
      <c r="QZH166" s="22"/>
      <c r="QZI166" s="22"/>
      <c r="QZJ166" s="22"/>
      <c r="QZK166" s="22"/>
      <c r="QZL166" s="22"/>
      <c r="QZM166" s="22"/>
      <c r="QZN166" s="22"/>
      <c r="QZO166" s="22"/>
      <c r="QZP166" s="22"/>
      <c r="QZQ166" s="22"/>
      <c r="QZR166" s="22"/>
      <c r="QZS166" s="22"/>
      <c r="QZT166" s="22"/>
      <c r="QZU166" s="22"/>
      <c r="QZV166" s="22"/>
      <c r="QZW166" s="22"/>
      <c r="QZX166" s="22"/>
      <c r="QZY166" s="22"/>
      <c r="QZZ166" s="22"/>
      <c r="RAA166" s="22"/>
      <c r="RAB166" s="22"/>
      <c r="RAC166" s="22"/>
      <c r="RAD166" s="22"/>
      <c r="RAE166" s="22"/>
      <c r="RAF166" s="22"/>
      <c r="RAG166" s="22"/>
      <c r="RAH166" s="22"/>
      <c r="RAI166" s="22"/>
      <c r="RAJ166" s="22"/>
      <c r="RAK166" s="22"/>
      <c r="RAL166" s="22"/>
      <c r="RAM166" s="22"/>
      <c r="RAN166" s="22"/>
      <c r="RAO166" s="22"/>
      <c r="RAP166" s="22"/>
      <c r="RAQ166" s="22"/>
      <c r="RAR166" s="22"/>
      <c r="RAS166" s="22"/>
      <c r="RAT166" s="22"/>
      <c r="RAU166" s="22"/>
      <c r="RAV166" s="22"/>
      <c r="RAW166" s="22"/>
      <c r="RAX166" s="22"/>
      <c r="RAY166" s="22"/>
      <c r="RAZ166" s="22"/>
      <c r="RBA166" s="22"/>
      <c r="RBB166" s="22"/>
      <c r="RBC166" s="22"/>
      <c r="RBD166" s="22"/>
      <c r="RBE166" s="22"/>
      <c r="RBF166" s="22"/>
      <c r="RBG166" s="22"/>
      <c r="RBH166" s="22"/>
      <c r="RBI166" s="22"/>
      <c r="RBJ166" s="22"/>
      <c r="RBK166" s="22"/>
      <c r="RBL166" s="22"/>
      <c r="RBM166" s="22"/>
      <c r="RBN166" s="22"/>
      <c r="RBO166" s="22"/>
      <c r="RBP166" s="22"/>
      <c r="RBQ166" s="22"/>
      <c r="RBR166" s="22"/>
      <c r="RBS166" s="22"/>
      <c r="RBT166" s="22"/>
      <c r="RBU166" s="22"/>
      <c r="RBV166" s="22"/>
      <c r="RBW166" s="22"/>
      <c r="RBX166" s="22"/>
      <c r="RBY166" s="22"/>
      <c r="RBZ166" s="22"/>
      <c r="RCA166" s="22"/>
      <c r="RCB166" s="22"/>
      <c r="RCC166" s="22"/>
      <c r="RCD166" s="22"/>
      <c r="RCE166" s="22"/>
      <c r="RCF166" s="22"/>
      <c r="RCG166" s="22"/>
      <c r="RCH166" s="22"/>
      <c r="RCI166" s="22"/>
      <c r="RCJ166" s="22"/>
      <c r="RCK166" s="22"/>
      <c r="RCL166" s="22"/>
      <c r="RCM166" s="22"/>
      <c r="RCN166" s="22"/>
      <c r="RCO166" s="22"/>
      <c r="RCP166" s="22"/>
      <c r="RCQ166" s="22"/>
      <c r="RCR166" s="22"/>
      <c r="RCS166" s="22"/>
      <c r="RCT166" s="22"/>
      <c r="RCU166" s="22"/>
      <c r="RCV166" s="22"/>
      <c r="RCW166" s="22"/>
      <c r="RCX166" s="22"/>
      <c r="RCY166" s="22"/>
      <c r="RCZ166" s="22"/>
      <c r="RDA166" s="22"/>
      <c r="RDB166" s="22"/>
      <c r="RDC166" s="22"/>
      <c r="RDD166" s="22"/>
      <c r="RDE166" s="22"/>
      <c r="RDF166" s="22"/>
      <c r="RDG166" s="22"/>
      <c r="RDH166" s="22"/>
      <c r="RDI166" s="22"/>
      <c r="RDJ166" s="22"/>
      <c r="RDK166" s="22"/>
      <c r="RDL166" s="22"/>
      <c r="RDM166" s="22"/>
      <c r="RDN166" s="22"/>
      <c r="RDO166" s="22"/>
      <c r="RDP166" s="22"/>
      <c r="RDQ166" s="22"/>
      <c r="RDR166" s="22"/>
      <c r="RDS166" s="22"/>
      <c r="RDT166" s="22"/>
      <c r="RDU166" s="22"/>
      <c r="RDV166" s="22"/>
      <c r="RDW166" s="22"/>
      <c r="RDX166" s="22"/>
      <c r="RDY166" s="22"/>
      <c r="RDZ166" s="22"/>
      <c r="REA166" s="22"/>
      <c r="REB166" s="22"/>
      <c r="REC166" s="22"/>
      <c r="RED166" s="22"/>
      <c r="REE166" s="22"/>
      <c r="REF166" s="22"/>
      <c r="REG166" s="22"/>
      <c r="REH166" s="22"/>
      <c r="REI166" s="22"/>
      <c r="REJ166" s="22"/>
      <c r="REK166" s="22"/>
      <c r="REL166" s="22"/>
      <c r="REM166" s="22"/>
      <c r="REN166" s="22"/>
      <c r="REO166" s="22"/>
      <c r="REP166" s="22"/>
      <c r="REQ166" s="22"/>
      <c r="RER166" s="22"/>
      <c r="RES166" s="22"/>
      <c r="RET166" s="22"/>
      <c r="REU166" s="22"/>
      <c r="REV166" s="22"/>
      <c r="REW166" s="22"/>
      <c r="REX166" s="22"/>
      <c r="REY166" s="22"/>
      <c r="REZ166" s="22"/>
      <c r="RFA166" s="22"/>
      <c r="RFB166" s="22"/>
      <c r="RFC166" s="22"/>
      <c r="RFD166" s="22"/>
      <c r="RFE166" s="22"/>
      <c r="RFF166" s="22"/>
      <c r="RFG166" s="22"/>
      <c r="RFH166" s="22"/>
      <c r="RFI166" s="22"/>
      <c r="RFJ166" s="22"/>
      <c r="RFK166" s="22"/>
      <c r="RFL166" s="22"/>
      <c r="RFM166" s="22"/>
      <c r="RFN166" s="22"/>
      <c r="RFO166" s="22"/>
      <c r="RFP166" s="22"/>
      <c r="RFQ166" s="22"/>
      <c r="RFR166" s="22"/>
      <c r="RFS166" s="22"/>
      <c r="RFT166" s="22"/>
      <c r="RFU166" s="22"/>
      <c r="RFV166" s="22"/>
      <c r="RFW166" s="22"/>
      <c r="RFX166" s="22"/>
      <c r="RFY166" s="22"/>
      <c r="RFZ166" s="22"/>
      <c r="RGA166" s="22"/>
      <c r="RGB166" s="22"/>
      <c r="RGC166" s="22"/>
      <c r="RGD166" s="22"/>
      <c r="RGE166" s="22"/>
      <c r="RGF166" s="22"/>
      <c r="RGG166" s="22"/>
      <c r="RGH166" s="22"/>
      <c r="RGI166" s="22"/>
      <c r="RGJ166" s="22"/>
      <c r="RGK166" s="22"/>
      <c r="RGL166" s="22"/>
      <c r="RGM166" s="22"/>
      <c r="RGN166" s="22"/>
      <c r="RGO166" s="22"/>
      <c r="RGP166" s="22"/>
      <c r="RGQ166" s="22"/>
      <c r="RGR166" s="22"/>
      <c r="RGS166" s="22"/>
      <c r="RGT166" s="22"/>
      <c r="RGU166" s="22"/>
      <c r="RGV166" s="22"/>
      <c r="RGW166" s="22"/>
      <c r="RGX166" s="22"/>
      <c r="RGY166" s="22"/>
      <c r="RGZ166" s="22"/>
      <c r="RHA166" s="22"/>
      <c r="RHB166" s="22"/>
      <c r="RHC166" s="22"/>
      <c r="RHD166" s="22"/>
      <c r="RHE166" s="22"/>
      <c r="RHF166" s="22"/>
      <c r="RHG166" s="22"/>
      <c r="RHH166" s="22"/>
      <c r="RHI166" s="22"/>
      <c r="RHJ166" s="22"/>
      <c r="RHK166" s="22"/>
      <c r="RHL166" s="22"/>
      <c r="RHM166" s="22"/>
      <c r="RHN166" s="22"/>
      <c r="RHO166" s="22"/>
      <c r="RHP166" s="22"/>
      <c r="RHQ166" s="22"/>
      <c r="RHR166" s="22"/>
      <c r="RHS166" s="22"/>
      <c r="RHT166" s="22"/>
      <c r="RHU166" s="22"/>
      <c r="RHV166" s="22"/>
      <c r="RHW166" s="22"/>
      <c r="RHX166" s="22"/>
      <c r="RHY166" s="22"/>
      <c r="RHZ166" s="22"/>
      <c r="RIA166" s="22"/>
      <c r="RIB166" s="22"/>
      <c r="RIC166" s="22"/>
      <c r="RID166" s="22"/>
      <c r="RIE166" s="22"/>
      <c r="RIF166" s="22"/>
      <c r="RIG166" s="22"/>
      <c r="RIH166" s="22"/>
      <c r="RII166" s="22"/>
      <c r="RIJ166" s="22"/>
      <c r="RIK166" s="22"/>
      <c r="RIL166" s="22"/>
      <c r="RIM166" s="22"/>
      <c r="RIN166" s="22"/>
      <c r="RIO166" s="22"/>
      <c r="RIP166" s="22"/>
      <c r="RIQ166" s="22"/>
      <c r="RIR166" s="22"/>
      <c r="RIS166" s="22"/>
      <c r="RIT166" s="22"/>
      <c r="RIU166" s="22"/>
      <c r="RIV166" s="22"/>
      <c r="RIW166" s="22"/>
      <c r="RIX166" s="22"/>
      <c r="RIY166" s="22"/>
      <c r="RIZ166" s="22"/>
      <c r="RJA166" s="22"/>
      <c r="RJB166" s="22"/>
      <c r="RJC166" s="22"/>
      <c r="RJD166" s="22"/>
      <c r="RJE166" s="22"/>
      <c r="RJF166" s="22"/>
      <c r="RJG166" s="22"/>
      <c r="RJH166" s="22"/>
      <c r="RJI166" s="22"/>
      <c r="RJJ166" s="22"/>
      <c r="RJK166" s="22"/>
      <c r="RJL166" s="22"/>
      <c r="RJM166" s="22"/>
      <c r="RJN166" s="22"/>
      <c r="RJO166" s="22"/>
      <c r="RJP166" s="22"/>
      <c r="RJQ166" s="22"/>
      <c r="RJR166" s="22"/>
      <c r="RJS166" s="22"/>
      <c r="RJT166" s="22"/>
      <c r="RJU166" s="22"/>
      <c r="RJV166" s="22"/>
      <c r="RJW166" s="22"/>
      <c r="RJX166" s="22"/>
      <c r="RJY166" s="22"/>
      <c r="RJZ166" s="22"/>
      <c r="RKA166" s="22"/>
      <c r="RKB166" s="22"/>
      <c r="RKC166" s="22"/>
      <c r="RKD166" s="22"/>
      <c r="RKE166" s="22"/>
      <c r="RKF166" s="22"/>
      <c r="RKG166" s="22"/>
      <c r="RKH166" s="22"/>
      <c r="RKI166" s="22"/>
      <c r="RKJ166" s="22"/>
      <c r="RKK166" s="22"/>
      <c r="RKL166" s="22"/>
      <c r="RKM166" s="22"/>
      <c r="RKN166" s="22"/>
      <c r="RKO166" s="22"/>
      <c r="RKP166" s="22"/>
      <c r="RKQ166" s="22"/>
      <c r="RKR166" s="22"/>
      <c r="RKS166" s="22"/>
      <c r="RKT166" s="22"/>
      <c r="RKU166" s="22"/>
      <c r="RKV166" s="22"/>
      <c r="RKW166" s="22"/>
      <c r="RKX166" s="22"/>
      <c r="RKY166" s="22"/>
      <c r="RKZ166" s="22"/>
      <c r="RLA166" s="22"/>
      <c r="RLB166" s="22"/>
      <c r="RLC166" s="22"/>
      <c r="RLD166" s="22"/>
      <c r="RLE166" s="22"/>
      <c r="RLF166" s="22"/>
      <c r="RLG166" s="22"/>
      <c r="RLH166" s="22"/>
      <c r="RLI166" s="22"/>
      <c r="RLJ166" s="22"/>
      <c r="RLK166" s="22"/>
      <c r="RLL166" s="22"/>
      <c r="RLM166" s="22"/>
      <c r="RLN166" s="22"/>
      <c r="RLO166" s="22"/>
      <c r="RLP166" s="22"/>
      <c r="RLQ166" s="22"/>
      <c r="RLR166" s="22"/>
      <c r="RLS166" s="22"/>
      <c r="RLT166" s="22"/>
      <c r="RLU166" s="22"/>
      <c r="RLV166" s="22"/>
      <c r="RLW166" s="22"/>
      <c r="RLX166" s="22"/>
      <c r="RLY166" s="22"/>
      <c r="RLZ166" s="22"/>
      <c r="RMA166" s="22"/>
      <c r="RMB166" s="22"/>
      <c r="RMC166" s="22"/>
      <c r="RMD166" s="22"/>
      <c r="RME166" s="22"/>
      <c r="RMF166" s="22"/>
      <c r="RMG166" s="22"/>
      <c r="RMH166" s="22"/>
      <c r="RMI166" s="22"/>
      <c r="RMJ166" s="22"/>
      <c r="RMK166" s="22"/>
      <c r="RML166" s="22"/>
      <c r="RMM166" s="22"/>
      <c r="RMN166" s="22"/>
      <c r="RMO166" s="22"/>
      <c r="RMP166" s="22"/>
      <c r="RMQ166" s="22"/>
      <c r="RMR166" s="22"/>
      <c r="RMS166" s="22"/>
      <c r="RMT166" s="22"/>
      <c r="RMU166" s="22"/>
      <c r="RMV166" s="22"/>
      <c r="RMW166" s="22"/>
      <c r="RMX166" s="22"/>
      <c r="RMY166" s="22"/>
      <c r="RMZ166" s="22"/>
      <c r="RNA166" s="22"/>
      <c r="RNB166" s="22"/>
      <c r="RNC166" s="22"/>
      <c r="RND166" s="22"/>
      <c r="RNE166" s="22"/>
      <c r="RNF166" s="22"/>
      <c r="RNG166" s="22"/>
      <c r="RNH166" s="22"/>
      <c r="RNI166" s="22"/>
      <c r="RNJ166" s="22"/>
      <c r="RNK166" s="22"/>
      <c r="RNL166" s="22"/>
      <c r="RNM166" s="22"/>
      <c r="RNN166" s="22"/>
      <c r="RNO166" s="22"/>
      <c r="RNP166" s="22"/>
      <c r="RNQ166" s="22"/>
      <c r="RNR166" s="22"/>
      <c r="RNS166" s="22"/>
      <c r="RNT166" s="22"/>
      <c r="RNU166" s="22"/>
      <c r="RNV166" s="22"/>
      <c r="RNW166" s="22"/>
      <c r="RNX166" s="22"/>
      <c r="RNY166" s="22"/>
      <c r="RNZ166" s="22"/>
      <c r="ROA166" s="22"/>
      <c r="ROB166" s="22"/>
      <c r="ROC166" s="22"/>
      <c r="ROD166" s="22"/>
      <c r="ROE166" s="22"/>
      <c r="ROF166" s="22"/>
      <c r="ROG166" s="22"/>
      <c r="ROH166" s="22"/>
      <c r="ROI166" s="22"/>
      <c r="ROJ166" s="22"/>
      <c r="ROK166" s="22"/>
      <c r="ROL166" s="22"/>
      <c r="ROM166" s="22"/>
      <c r="RON166" s="22"/>
      <c r="ROO166" s="22"/>
      <c r="ROP166" s="22"/>
      <c r="ROQ166" s="22"/>
      <c r="ROR166" s="22"/>
      <c r="ROS166" s="22"/>
      <c r="ROT166" s="22"/>
      <c r="ROU166" s="22"/>
      <c r="ROV166" s="22"/>
      <c r="ROW166" s="22"/>
      <c r="ROX166" s="22"/>
      <c r="ROY166" s="22"/>
      <c r="ROZ166" s="22"/>
      <c r="RPA166" s="22"/>
      <c r="RPB166" s="22"/>
      <c r="RPC166" s="22"/>
      <c r="RPD166" s="22"/>
      <c r="RPE166" s="22"/>
      <c r="RPF166" s="22"/>
      <c r="RPG166" s="22"/>
      <c r="RPH166" s="22"/>
      <c r="RPI166" s="22"/>
      <c r="RPJ166" s="22"/>
      <c r="RPK166" s="22"/>
      <c r="RPL166" s="22"/>
      <c r="RPM166" s="22"/>
      <c r="RPN166" s="22"/>
      <c r="RPO166" s="22"/>
      <c r="RPP166" s="22"/>
      <c r="RPQ166" s="22"/>
      <c r="RPR166" s="22"/>
      <c r="RPS166" s="22"/>
      <c r="RPT166" s="22"/>
      <c r="RPU166" s="22"/>
      <c r="RPV166" s="22"/>
      <c r="RPW166" s="22"/>
      <c r="RPX166" s="22"/>
      <c r="RPY166" s="22"/>
      <c r="RPZ166" s="22"/>
      <c r="RQA166" s="22"/>
      <c r="RQB166" s="22"/>
      <c r="RQC166" s="22"/>
      <c r="RQD166" s="22"/>
      <c r="RQE166" s="22"/>
      <c r="RQF166" s="22"/>
      <c r="RQG166" s="22"/>
      <c r="RQH166" s="22"/>
      <c r="RQI166" s="22"/>
      <c r="RQJ166" s="22"/>
      <c r="RQK166" s="22"/>
      <c r="RQL166" s="22"/>
      <c r="RQM166" s="22"/>
      <c r="RQN166" s="22"/>
      <c r="RQO166" s="22"/>
      <c r="RQP166" s="22"/>
      <c r="RQQ166" s="22"/>
      <c r="RQR166" s="22"/>
      <c r="RQS166" s="22"/>
      <c r="RQT166" s="22"/>
      <c r="RQU166" s="22"/>
      <c r="RQV166" s="22"/>
      <c r="RQW166" s="22"/>
      <c r="RQX166" s="22"/>
      <c r="RQY166" s="22"/>
      <c r="RQZ166" s="22"/>
      <c r="RRA166" s="22"/>
      <c r="RRB166" s="22"/>
      <c r="RRC166" s="22"/>
      <c r="RRD166" s="22"/>
      <c r="RRE166" s="22"/>
      <c r="RRF166" s="22"/>
      <c r="RRG166" s="22"/>
      <c r="RRH166" s="22"/>
      <c r="RRI166" s="22"/>
      <c r="RRJ166" s="22"/>
      <c r="RRK166" s="22"/>
      <c r="RRL166" s="22"/>
      <c r="RRM166" s="22"/>
      <c r="RRN166" s="22"/>
      <c r="RRO166" s="22"/>
      <c r="RRP166" s="22"/>
      <c r="RRQ166" s="22"/>
      <c r="RRR166" s="22"/>
      <c r="RRS166" s="22"/>
      <c r="RRT166" s="22"/>
      <c r="RRU166" s="22"/>
      <c r="RRV166" s="22"/>
      <c r="RRW166" s="22"/>
      <c r="RRX166" s="22"/>
      <c r="RRY166" s="22"/>
      <c r="RRZ166" s="22"/>
      <c r="RSA166" s="22"/>
      <c r="RSB166" s="22"/>
      <c r="RSC166" s="22"/>
      <c r="RSD166" s="22"/>
      <c r="RSE166" s="22"/>
      <c r="RSF166" s="22"/>
      <c r="RSG166" s="22"/>
      <c r="RSH166" s="22"/>
      <c r="RSI166" s="22"/>
      <c r="RSJ166" s="22"/>
      <c r="RSK166" s="22"/>
      <c r="RSL166" s="22"/>
      <c r="RSM166" s="22"/>
      <c r="RSN166" s="22"/>
      <c r="RSO166" s="22"/>
      <c r="RSP166" s="22"/>
      <c r="RSQ166" s="22"/>
      <c r="RSR166" s="22"/>
      <c r="RSS166" s="22"/>
      <c r="RST166" s="22"/>
      <c r="RSU166" s="22"/>
      <c r="RSV166" s="22"/>
      <c r="RSW166" s="22"/>
      <c r="RSX166" s="22"/>
      <c r="RSY166" s="22"/>
      <c r="RSZ166" s="22"/>
      <c r="RTA166" s="22"/>
      <c r="RTB166" s="22"/>
      <c r="RTC166" s="22"/>
      <c r="RTD166" s="22"/>
      <c r="RTE166" s="22"/>
      <c r="RTF166" s="22"/>
      <c r="RTG166" s="22"/>
      <c r="RTH166" s="22"/>
      <c r="RTI166" s="22"/>
      <c r="RTJ166" s="22"/>
      <c r="RTK166" s="22"/>
      <c r="RTL166" s="22"/>
      <c r="RTM166" s="22"/>
      <c r="RTN166" s="22"/>
      <c r="RTO166" s="22"/>
      <c r="RTP166" s="22"/>
      <c r="RTQ166" s="22"/>
      <c r="RTR166" s="22"/>
      <c r="RTS166" s="22"/>
      <c r="RTT166" s="22"/>
      <c r="RTU166" s="22"/>
      <c r="RTV166" s="22"/>
      <c r="RTW166" s="22"/>
      <c r="RTX166" s="22"/>
      <c r="RTY166" s="22"/>
      <c r="RTZ166" s="22"/>
      <c r="RUA166" s="22"/>
      <c r="RUB166" s="22"/>
      <c r="RUC166" s="22"/>
      <c r="RUD166" s="22"/>
      <c r="RUE166" s="22"/>
      <c r="RUF166" s="22"/>
      <c r="RUG166" s="22"/>
      <c r="RUH166" s="22"/>
      <c r="RUI166" s="22"/>
      <c r="RUJ166" s="22"/>
      <c r="RUK166" s="22"/>
      <c r="RUL166" s="22"/>
      <c r="RUM166" s="22"/>
      <c r="RUN166" s="22"/>
      <c r="RUO166" s="22"/>
      <c r="RUP166" s="22"/>
      <c r="RUQ166" s="22"/>
      <c r="RUR166" s="22"/>
      <c r="RUS166" s="22"/>
      <c r="RUT166" s="22"/>
      <c r="RUU166" s="22"/>
      <c r="RUV166" s="22"/>
      <c r="RUW166" s="22"/>
      <c r="RUX166" s="22"/>
      <c r="RUY166" s="22"/>
      <c r="RUZ166" s="22"/>
      <c r="RVA166" s="22"/>
      <c r="RVB166" s="22"/>
      <c r="RVC166" s="22"/>
      <c r="RVD166" s="22"/>
      <c r="RVE166" s="22"/>
      <c r="RVF166" s="22"/>
      <c r="RVG166" s="22"/>
      <c r="RVH166" s="22"/>
      <c r="RVI166" s="22"/>
      <c r="RVJ166" s="22"/>
      <c r="RVK166" s="22"/>
      <c r="RVL166" s="22"/>
      <c r="RVM166" s="22"/>
      <c r="RVN166" s="22"/>
      <c r="RVO166" s="22"/>
      <c r="RVP166" s="22"/>
      <c r="RVQ166" s="22"/>
      <c r="RVR166" s="22"/>
      <c r="RVS166" s="22"/>
      <c r="RVT166" s="22"/>
      <c r="RVU166" s="22"/>
      <c r="RVV166" s="22"/>
      <c r="RVW166" s="22"/>
      <c r="RVX166" s="22"/>
      <c r="RVY166" s="22"/>
      <c r="RVZ166" s="22"/>
      <c r="RWA166" s="22"/>
      <c r="RWB166" s="22"/>
      <c r="RWC166" s="22"/>
      <c r="RWD166" s="22"/>
      <c r="RWE166" s="22"/>
      <c r="RWF166" s="22"/>
      <c r="RWG166" s="22"/>
      <c r="RWH166" s="22"/>
      <c r="RWI166" s="22"/>
      <c r="RWJ166" s="22"/>
      <c r="RWK166" s="22"/>
      <c r="RWL166" s="22"/>
      <c r="RWM166" s="22"/>
      <c r="RWN166" s="22"/>
      <c r="RWO166" s="22"/>
      <c r="RWP166" s="22"/>
      <c r="RWQ166" s="22"/>
      <c r="RWR166" s="22"/>
      <c r="RWS166" s="22"/>
      <c r="RWT166" s="22"/>
      <c r="RWU166" s="22"/>
      <c r="RWV166" s="22"/>
      <c r="RWW166" s="22"/>
      <c r="RWX166" s="22"/>
      <c r="RWY166" s="22"/>
      <c r="RWZ166" s="22"/>
      <c r="RXA166" s="22"/>
      <c r="RXB166" s="22"/>
      <c r="RXC166" s="22"/>
      <c r="RXD166" s="22"/>
      <c r="RXE166" s="22"/>
      <c r="RXF166" s="22"/>
      <c r="RXG166" s="22"/>
      <c r="RXH166" s="22"/>
      <c r="RXI166" s="22"/>
      <c r="RXJ166" s="22"/>
      <c r="RXK166" s="22"/>
      <c r="RXL166" s="22"/>
      <c r="RXM166" s="22"/>
      <c r="RXN166" s="22"/>
      <c r="RXO166" s="22"/>
      <c r="RXP166" s="22"/>
      <c r="RXQ166" s="22"/>
      <c r="RXR166" s="22"/>
      <c r="RXS166" s="22"/>
      <c r="RXT166" s="22"/>
      <c r="RXU166" s="22"/>
      <c r="RXV166" s="22"/>
      <c r="RXW166" s="22"/>
      <c r="RXX166" s="22"/>
      <c r="RXY166" s="22"/>
      <c r="RXZ166" s="22"/>
      <c r="RYA166" s="22"/>
      <c r="RYB166" s="22"/>
      <c r="RYC166" s="22"/>
      <c r="RYD166" s="22"/>
      <c r="RYE166" s="22"/>
      <c r="RYF166" s="22"/>
      <c r="RYG166" s="22"/>
      <c r="RYH166" s="22"/>
      <c r="RYI166" s="22"/>
      <c r="RYJ166" s="22"/>
      <c r="RYK166" s="22"/>
      <c r="RYL166" s="22"/>
      <c r="RYM166" s="22"/>
      <c r="RYN166" s="22"/>
      <c r="RYO166" s="22"/>
      <c r="RYP166" s="22"/>
      <c r="RYQ166" s="22"/>
      <c r="RYR166" s="22"/>
      <c r="RYS166" s="22"/>
      <c r="RYT166" s="22"/>
      <c r="RYU166" s="22"/>
      <c r="RYV166" s="22"/>
      <c r="RYW166" s="22"/>
      <c r="RYX166" s="22"/>
      <c r="RYY166" s="22"/>
      <c r="RYZ166" s="22"/>
      <c r="RZA166" s="22"/>
      <c r="RZB166" s="22"/>
      <c r="RZC166" s="22"/>
      <c r="RZD166" s="22"/>
      <c r="RZE166" s="22"/>
      <c r="RZF166" s="22"/>
      <c r="RZG166" s="22"/>
      <c r="RZH166" s="22"/>
      <c r="RZI166" s="22"/>
      <c r="RZJ166" s="22"/>
      <c r="RZK166" s="22"/>
      <c r="RZL166" s="22"/>
      <c r="RZM166" s="22"/>
      <c r="RZN166" s="22"/>
      <c r="RZO166" s="22"/>
      <c r="RZP166" s="22"/>
      <c r="RZQ166" s="22"/>
      <c r="RZR166" s="22"/>
      <c r="RZS166" s="22"/>
      <c r="RZT166" s="22"/>
      <c r="RZU166" s="22"/>
      <c r="RZV166" s="22"/>
      <c r="RZW166" s="22"/>
      <c r="RZX166" s="22"/>
      <c r="RZY166" s="22"/>
      <c r="RZZ166" s="22"/>
      <c r="SAA166" s="22"/>
      <c r="SAB166" s="22"/>
      <c r="SAC166" s="22"/>
      <c r="SAD166" s="22"/>
      <c r="SAE166" s="22"/>
      <c r="SAF166" s="22"/>
      <c r="SAG166" s="22"/>
      <c r="SAH166" s="22"/>
      <c r="SAI166" s="22"/>
      <c r="SAJ166" s="22"/>
      <c r="SAK166" s="22"/>
      <c r="SAL166" s="22"/>
      <c r="SAM166" s="22"/>
      <c r="SAN166" s="22"/>
      <c r="SAO166" s="22"/>
      <c r="SAP166" s="22"/>
      <c r="SAQ166" s="22"/>
      <c r="SAR166" s="22"/>
      <c r="SAS166" s="22"/>
      <c r="SAT166" s="22"/>
      <c r="SAU166" s="22"/>
      <c r="SAV166" s="22"/>
      <c r="SAW166" s="22"/>
      <c r="SAX166" s="22"/>
      <c r="SAY166" s="22"/>
      <c r="SAZ166" s="22"/>
      <c r="SBA166" s="22"/>
      <c r="SBB166" s="22"/>
      <c r="SBC166" s="22"/>
      <c r="SBD166" s="22"/>
      <c r="SBE166" s="22"/>
      <c r="SBF166" s="22"/>
      <c r="SBG166" s="22"/>
      <c r="SBH166" s="22"/>
      <c r="SBI166" s="22"/>
      <c r="SBJ166" s="22"/>
      <c r="SBK166" s="22"/>
      <c r="SBL166" s="22"/>
      <c r="SBM166" s="22"/>
      <c r="SBN166" s="22"/>
      <c r="SBO166" s="22"/>
      <c r="SBP166" s="22"/>
      <c r="SBQ166" s="22"/>
      <c r="SBR166" s="22"/>
      <c r="SBS166" s="22"/>
      <c r="SBT166" s="22"/>
      <c r="SBU166" s="22"/>
      <c r="SBV166" s="22"/>
      <c r="SBW166" s="22"/>
      <c r="SBX166" s="22"/>
      <c r="SBY166" s="22"/>
      <c r="SBZ166" s="22"/>
      <c r="SCA166" s="22"/>
      <c r="SCB166" s="22"/>
      <c r="SCC166" s="22"/>
      <c r="SCD166" s="22"/>
      <c r="SCE166" s="22"/>
      <c r="SCF166" s="22"/>
      <c r="SCG166" s="22"/>
      <c r="SCH166" s="22"/>
      <c r="SCI166" s="22"/>
      <c r="SCJ166" s="22"/>
      <c r="SCK166" s="22"/>
      <c r="SCL166" s="22"/>
      <c r="SCM166" s="22"/>
      <c r="SCN166" s="22"/>
      <c r="SCO166" s="22"/>
      <c r="SCP166" s="22"/>
      <c r="SCQ166" s="22"/>
      <c r="SCR166" s="22"/>
      <c r="SCS166" s="22"/>
      <c r="SCT166" s="22"/>
      <c r="SCU166" s="22"/>
      <c r="SCV166" s="22"/>
      <c r="SCW166" s="22"/>
      <c r="SCX166" s="22"/>
      <c r="SCY166" s="22"/>
      <c r="SCZ166" s="22"/>
      <c r="SDA166" s="22"/>
      <c r="SDB166" s="22"/>
      <c r="SDC166" s="22"/>
      <c r="SDD166" s="22"/>
      <c r="SDE166" s="22"/>
      <c r="SDF166" s="22"/>
      <c r="SDG166" s="22"/>
      <c r="SDH166" s="22"/>
      <c r="SDI166" s="22"/>
      <c r="SDJ166" s="22"/>
      <c r="SDK166" s="22"/>
      <c r="SDL166" s="22"/>
      <c r="SDM166" s="22"/>
      <c r="SDN166" s="22"/>
      <c r="SDO166" s="22"/>
      <c r="SDP166" s="22"/>
      <c r="SDQ166" s="22"/>
      <c r="SDR166" s="22"/>
      <c r="SDS166" s="22"/>
      <c r="SDT166" s="22"/>
      <c r="SDU166" s="22"/>
      <c r="SDV166" s="22"/>
      <c r="SDW166" s="22"/>
      <c r="SDX166" s="22"/>
      <c r="SDY166" s="22"/>
      <c r="SDZ166" s="22"/>
      <c r="SEA166" s="22"/>
      <c r="SEB166" s="22"/>
      <c r="SEC166" s="22"/>
      <c r="SED166" s="22"/>
      <c r="SEE166" s="22"/>
      <c r="SEF166" s="22"/>
      <c r="SEG166" s="22"/>
      <c r="SEH166" s="22"/>
      <c r="SEI166" s="22"/>
      <c r="SEJ166" s="22"/>
      <c r="SEK166" s="22"/>
      <c r="SEL166" s="22"/>
      <c r="SEM166" s="22"/>
      <c r="SEN166" s="22"/>
      <c r="SEO166" s="22"/>
      <c r="SEP166" s="22"/>
      <c r="SEQ166" s="22"/>
      <c r="SER166" s="22"/>
      <c r="SES166" s="22"/>
      <c r="SET166" s="22"/>
      <c r="SEU166" s="22"/>
      <c r="SEV166" s="22"/>
      <c r="SEW166" s="22"/>
      <c r="SEX166" s="22"/>
      <c r="SEY166" s="22"/>
      <c r="SEZ166" s="22"/>
      <c r="SFA166" s="22"/>
      <c r="SFB166" s="22"/>
      <c r="SFC166" s="22"/>
      <c r="SFD166" s="22"/>
      <c r="SFE166" s="22"/>
      <c r="SFF166" s="22"/>
      <c r="SFG166" s="22"/>
      <c r="SFH166" s="22"/>
      <c r="SFI166" s="22"/>
      <c r="SFJ166" s="22"/>
      <c r="SFK166" s="22"/>
      <c r="SFL166" s="22"/>
      <c r="SFM166" s="22"/>
      <c r="SFN166" s="22"/>
      <c r="SFO166" s="22"/>
      <c r="SFP166" s="22"/>
      <c r="SFQ166" s="22"/>
      <c r="SFR166" s="22"/>
      <c r="SFS166" s="22"/>
      <c r="SFT166" s="22"/>
      <c r="SFU166" s="22"/>
      <c r="SFV166" s="22"/>
      <c r="SFW166" s="22"/>
      <c r="SFX166" s="22"/>
      <c r="SFY166" s="22"/>
      <c r="SFZ166" s="22"/>
      <c r="SGA166" s="22"/>
      <c r="SGB166" s="22"/>
      <c r="SGC166" s="22"/>
      <c r="SGD166" s="22"/>
      <c r="SGE166" s="22"/>
      <c r="SGF166" s="22"/>
      <c r="SGG166" s="22"/>
      <c r="SGH166" s="22"/>
      <c r="SGI166" s="22"/>
      <c r="SGJ166" s="22"/>
      <c r="SGK166" s="22"/>
      <c r="SGL166" s="22"/>
      <c r="SGM166" s="22"/>
      <c r="SGN166" s="22"/>
      <c r="SGO166" s="22"/>
      <c r="SGP166" s="22"/>
      <c r="SGQ166" s="22"/>
      <c r="SGR166" s="22"/>
      <c r="SGS166" s="22"/>
      <c r="SGT166" s="22"/>
      <c r="SGU166" s="22"/>
      <c r="SGV166" s="22"/>
      <c r="SGW166" s="22"/>
      <c r="SGX166" s="22"/>
      <c r="SGY166" s="22"/>
      <c r="SGZ166" s="22"/>
      <c r="SHA166" s="22"/>
      <c r="SHB166" s="22"/>
      <c r="SHC166" s="22"/>
      <c r="SHD166" s="22"/>
      <c r="SHE166" s="22"/>
      <c r="SHF166" s="22"/>
      <c r="SHG166" s="22"/>
      <c r="SHH166" s="22"/>
      <c r="SHI166" s="22"/>
      <c r="SHJ166" s="22"/>
      <c r="SHK166" s="22"/>
      <c r="SHL166" s="22"/>
      <c r="SHM166" s="22"/>
      <c r="SHN166" s="22"/>
      <c r="SHO166" s="22"/>
      <c r="SHP166" s="22"/>
      <c r="SHQ166" s="22"/>
      <c r="SHR166" s="22"/>
      <c r="SHS166" s="22"/>
      <c r="SHT166" s="22"/>
      <c r="SHU166" s="22"/>
      <c r="SHV166" s="22"/>
      <c r="SHW166" s="22"/>
      <c r="SHX166" s="22"/>
      <c r="SHY166" s="22"/>
      <c r="SHZ166" s="22"/>
      <c r="SIA166" s="22"/>
      <c r="SIB166" s="22"/>
      <c r="SIC166" s="22"/>
      <c r="SID166" s="22"/>
      <c r="SIE166" s="22"/>
      <c r="SIF166" s="22"/>
      <c r="SIG166" s="22"/>
      <c r="SIH166" s="22"/>
      <c r="SII166" s="22"/>
      <c r="SIJ166" s="22"/>
      <c r="SIK166" s="22"/>
      <c r="SIL166" s="22"/>
      <c r="SIM166" s="22"/>
      <c r="SIN166" s="22"/>
      <c r="SIO166" s="22"/>
      <c r="SIP166" s="22"/>
      <c r="SIQ166" s="22"/>
      <c r="SIR166" s="22"/>
      <c r="SIS166" s="22"/>
      <c r="SIT166" s="22"/>
      <c r="SIU166" s="22"/>
      <c r="SIV166" s="22"/>
      <c r="SIW166" s="22"/>
      <c r="SIX166" s="22"/>
      <c r="SIY166" s="22"/>
      <c r="SIZ166" s="22"/>
      <c r="SJA166" s="22"/>
      <c r="SJB166" s="22"/>
      <c r="SJC166" s="22"/>
      <c r="SJD166" s="22"/>
      <c r="SJE166" s="22"/>
      <c r="SJF166" s="22"/>
      <c r="SJG166" s="22"/>
      <c r="SJH166" s="22"/>
      <c r="SJI166" s="22"/>
      <c r="SJJ166" s="22"/>
      <c r="SJK166" s="22"/>
      <c r="SJL166" s="22"/>
      <c r="SJM166" s="22"/>
      <c r="SJN166" s="22"/>
      <c r="SJO166" s="22"/>
      <c r="SJP166" s="22"/>
      <c r="SJQ166" s="22"/>
      <c r="SJR166" s="22"/>
      <c r="SJS166" s="22"/>
      <c r="SJT166" s="22"/>
      <c r="SJU166" s="22"/>
      <c r="SJV166" s="22"/>
      <c r="SJW166" s="22"/>
      <c r="SJX166" s="22"/>
      <c r="SJY166" s="22"/>
      <c r="SJZ166" s="22"/>
      <c r="SKA166" s="22"/>
      <c r="SKB166" s="22"/>
      <c r="SKC166" s="22"/>
      <c r="SKD166" s="22"/>
      <c r="SKE166" s="22"/>
      <c r="SKF166" s="22"/>
      <c r="SKG166" s="22"/>
      <c r="SKH166" s="22"/>
      <c r="SKI166" s="22"/>
      <c r="SKJ166" s="22"/>
      <c r="SKK166" s="22"/>
      <c r="SKL166" s="22"/>
      <c r="SKM166" s="22"/>
      <c r="SKN166" s="22"/>
      <c r="SKO166" s="22"/>
      <c r="SKP166" s="22"/>
      <c r="SKQ166" s="22"/>
      <c r="SKR166" s="22"/>
      <c r="SKS166" s="22"/>
      <c r="SKT166" s="22"/>
      <c r="SKU166" s="22"/>
      <c r="SKV166" s="22"/>
      <c r="SKW166" s="22"/>
      <c r="SKX166" s="22"/>
      <c r="SKY166" s="22"/>
      <c r="SKZ166" s="22"/>
      <c r="SLA166" s="22"/>
      <c r="SLB166" s="22"/>
      <c r="SLC166" s="22"/>
      <c r="SLD166" s="22"/>
      <c r="SLE166" s="22"/>
      <c r="SLF166" s="22"/>
      <c r="SLG166" s="22"/>
      <c r="SLH166" s="22"/>
      <c r="SLI166" s="22"/>
      <c r="SLJ166" s="22"/>
      <c r="SLK166" s="22"/>
      <c r="SLL166" s="22"/>
      <c r="SLM166" s="22"/>
      <c r="SLN166" s="22"/>
      <c r="SLO166" s="22"/>
      <c r="SLP166" s="22"/>
      <c r="SLQ166" s="22"/>
      <c r="SLR166" s="22"/>
      <c r="SLS166" s="22"/>
      <c r="SLT166" s="22"/>
      <c r="SLU166" s="22"/>
      <c r="SLV166" s="22"/>
      <c r="SLW166" s="22"/>
      <c r="SLX166" s="22"/>
      <c r="SLY166" s="22"/>
      <c r="SLZ166" s="22"/>
      <c r="SMA166" s="22"/>
      <c r="SMB166" s="22"/>
      <c r="SMC166" s="22"/>
      <c r="SMD166" s="22"/>
      <c r="SME166" s="22"/>
      <c r="SMF166" s="22"/>
      <c r="SMG166" s="22"/>
      <c r="SMH166" s="22"/>
      <c r="SMI166" s="22"/>
      <c r="SMJ166" s="22"/>
      <c r="SMK166" s="22"/>
      <c r="SML166" s="22"/>
      <c r="SMM166" s="22"/>
      <c r="SMN166" s="22"/>
      <c r="SMO166" s="22"/>
      <c r="SMP166" s="22"/>
      <c r="SMQ166" s="22"/>
      <c r="SMR166" s="22"/>
      <c r="SMS166" s="22"/>
      <c r="SMT166" s="22"/>
      <c r="SMU166" s="22"/>
      <c r="SMV166" s="22"/>
      <c r="SMW166" s="22"/>
      <c r="SMX166" s="22"/>
      <c r="SMY166" s="22"/>
      <c r="SMZ166" s="22"/>
      <c r="SNA166" s="22"/>
      <c r="SNB166" s="22"/>
      <c r="SNC166" s="22"/>
      <c r="SND166" s="22"/>
      <c r="SNE166" s="22"/>
      <c r="SNF166" s="22"/>
      <c r="SNG166" s="22"/>
      <c r="SNH166" s="22"/>
      <c r="SNI166" s="22"/>
      <c r="SNJ166" s="22"/>
      <c r="SNK166" s="22"/>
      <c r="SNL166" s="22"/>
      <c r="SNM166" s="22"/>
      <c r="SNN166" s="22"/>
      <c r="SNO166" s="22"/>
      <c r="SNP166" s="22"/>
      <c r="SNQ166" s="22"/>
      <c r="SNR166" s="22"/>
      <c r="SNS166" s="22"/>
      <c r="SNT166" s="22"/>
      <c r="SNU166" s="22"/>
      <c r="SNV166" s="22"/>
      <c r="SNW166" s="22"/>
      <c r="SNX166" s="22"/>
      <c r="SNY166" s="22"/>
      <c r="SNZ166" s="22"/>
      <c r="SOA166" s="22"/>
      <c r="SOB166" s="22"/>
      <c r="SOC166" s="22"/>
      <c r="SOD166" s="22"/>
      <c r="SOE166" s="22"/>
      <c r="SOF166" s="22"/>
      <c r="SOG166" s="22"/>
      <c r="SOH166" s="22"/>
      <c r="SOI166" s="22"/>
      <c r="SOJ166" s="22"/>
      <c r="SOK166" s="22"/>
      <c r="SOL166" s="22"/>
      <c r="SOM166" s="22"/>
      <c r="SON166" s="22"/>
      <c r="SOO166" s="22"/>
      <c r="SOP166" s="22"/>
      <c r="SOQ166" s="22"/>
      <c r="SOR166" s="22"/>
      <c r="SOS166" s="22"/>
      <c r="SOT166" s="22"/>
      <c r="SOU166" s="22"/>
      <c r="SOV166" s="22"/>
      <c r="SOW166" s="22"/>
      <c r="SOX166" s="22"/>
      <c r="SOY166" s="22"/>
      <c r="SOZ166" s="22"/>
      <c r="SPA166" s="22"/>
      <c r="SPB166" s="22"/>
      <c r="SPC166" s="22"/>
      <c r="SPD166" s="22"/>
      <c r="SPE166" s="22"/>
      <c r="SPF166" s="22"/>
      <c r="SPG166" s="22"/>
      <c r="SPH166" s="22"/>
      <c r="SPI166" s="22"/>
      <c r="SPJ166" s="22"/>
      <c r="SPK166" s="22"/>
      <c r="SPL166" s="22"/>
      <c r="SPM166" s="22"/>
      <c r="SPN166" s="22"/>
      <c r="SPO166" s="22"/>
      <c r="SPP166" s="22"/>
      <c r="SPQ166" s="22"/>
      <c r="SPR166" s="22"/>
      <c r="SPS166" s="22"/>
      <c r="SPT166" s="22"/>
      <c r="SPU166" s="22"/>
      <c r="SPV166" s="22"/>
      <c r="SPW166" s="22"/>
      <c r="SPX166" s="22"/>
      <c r="SPY166" s="22"/>
      <c r="SPZ166" s="22"/>
      <c r="SQA166" s="22"/>
      <c r="SQB166" s="22"/>
      <c r="SQC166" s="22"/>
      <c r="SQD166" s="22"/>
      <c r="SQE166" s="22"/>
      <c r="SQF166" s="22"/>
      <c r="SQG166" s="22"/>
      <c r="SQH166" s="22"/>
      <c r="SQI166" s="22"/>
      <c r="SQJ166" s="22"/>
      <c r="SQK166" s="22"/>
      <c r="SQL166" s="22"/>
      <c r="SQM166" s="22"/>
      <c r="SQN166" s="22"/>
      <c r="SQO166" s="22"/>
      <c r="SQP166" s="22"/>
      <c r="SQQ166" s="22"/>
      <c r="SQR166" s="22"/>
      <c r="SQS166" s="22"/>
      <c r="SQT166" s="22"/>
      <c r="SQU166" s="22"/>
      <c r="SQV166" s="22"/>
      <c r="SQW166" s="22"/>
      <c r="SQX166" s="22"/>
      <c r="SQY166" s="22"/>
      <c r="SQZ166" s="22"/>
      <c r="SRA166" s="22"/>
      <c r="SRB166" s="22"/>
      <c r="SRC166" s="22"/>
      <c r="SRD166" s="22"/>
      <c r="SRE166" s="22"/>
      <c r="SRF166" s="22"/>
      <c r="SRG166" s="22"/>
      <c r="SRH166" s="22"/>
      <c r="SRI166" s="22"/>
      <c r="SRJ166" s="22"/>
      <c r="SRK166" s="22"/>
      <c r="SRL166" s="22"/>
      <c r="SRM166" s="22"/>
      <c r="SRN166" s="22"/>
      <c r="SRO166" s="22"/>
      <c r="SRP166" s="22"/>
      <c r="SRQ166" s="22"/>
      <c r="SRR166" s="22"/>
      <c r="SRS166" s="22"/>
      <c r="SRT166" s="22"/>
      <c r="SRU166" s="22"/>
      <c r="SRV166" s="22"/>
      <c r="SRW166" s="22"/>
      <c r="SRX166" s="22"/>
      <c r="SRY166" s="22"/>
      <c r="SRZ166" s="22"/>
      <c r="SSA166" s="22"/>
      <c r="SSB166" s="22"/>
      <c r="SSC166" s="22"/>
      <c r="SSD166" s="22"/>
      <c r="SSE166" s="22"/>
      <c r="SSF166" s="22"/>
      <c r="SSG166" s="22"/>
      <c r="SSH166" s="22"/>
      <c r="SSI166" s="22"/>
      <c r="SSJ166" s="22"/>
      <c r="SSK166" s="22"/>
      <c r="SSL166" s="22"/>
      <c r="SSM166" s="22"/>
      <c r="SSN166" s="22"/>
      <c r="SSO166" s="22"/>
      <c r="SSP166" s="22"/>
      <c r="SSQ166" s="22"/>
      <c r="SSR166" s="22"/>
      <c r="SSS166" s="22"/>
      <c r="SST166" s="22"/>
      <c r="SSU166" s="22"/>
      <c r="SSV166" s="22"/>
      <c r="SSW166" s="22"/>
      <c r="SSX166" s="22"/>
      <c r="SSY166" s="22"/>
      <c r="SSZ166" s="22"/>
      <c r="STA166" s="22"/>
      <c r="STB166" s="22"/>
      <c r="STC166" s="22"/>
      <c r="STD166" s="22"/>
      <c r="STE166" s="22"/>
      <c r="STF166" s="22"/>
      <c r="STG166" s="22"/>
      <c r="STH166" s="22"/>
      <c r="STI166" s="22"/>
      <c r="STJ166" s="22"/>
      <c r="STK166" s="22"/>
      <c r="STL166" s="22"/>
      <c r="STM166" s="22"/>
      <c r="STN166" s="22"/>
      <c r="STO166" s="22"/>
      <c r="STP166" s="22"/>
      <c r="STQ166" s="22"/>
      <c r="STR166" s="22"/>
      <c r="STS166" s="22"/>
      <c r="STT166" s="22"/>
      <c r="STU166" s="22"/>
      <c r="STV166" s="22"/>
      <c r="STW166" s="22"/>
      <c r="STX166" s="22"/>
      <c r="STY166" s="22"/>
      <c r="STZ166" s="22"/>
      <c r="SUA166" s="22"/>
      <c r="SUB166" s="22"/>
      <c r="SUC166" s="22"/>
      <c r="SUD166" s="22"/>
      <c r="SUE166" s="22"/>
      <c r="SUF166" s="22"/>
      <c r="SUG166" s="22"/>
      <c r="SUH166" s="22"/>
      <c r="SUI166" s="22"/>
      <c r="SUJ166" s="22"/>
      <c r="SUK166" s="22"/>
      <c r="SUL166" s="22"/>
      <c r="SUM166" s="22"/>
      <c r="SUN166" s="22"/>
      <c r="SUO166" s="22"/>
      <c r="SUP166" s="22"/>
      <c r="SUQ166" s="22"/>
      <c r="SUR166" s="22"/>
      <c r="SUS166" s="22"/>
      <c r="SUT166" s="22"/>
      <c r="SUU166" s="22"/>
      <c r="SUV166" s="22"/>
      <c r="SUW166" s="22"/>
      <c r="SUX166" s="22"/>
      <c r="SUY166" s="22"/>
      <c r="SUZ166" s="22"/>
      <c r="SVA166" s="22"/>
      <c r="SVB166" s="22"/>
      <c r="SVC166" s="22"/>
      <c r="SVD166" s="22"/>
      <c r="SVE166" s="22"/>
      <c r="SVF166" s="22"/>
      <c r="SVG166" s="22"/>
      <c r="SVH166" s="22"/>
      <c r="SVI166" s="22"/>
      <c r="SVJ166" s="22"/>
      <c r="SVK166" s="22"/>
      <c r="SVL166" s="22"/>
      <c r="SVM166" s="22"/>
      <c r="SVN166" s="22"/>
      <c r="SVO166" s="22"/>
      <c r="SVP166" s="22"/>
      <c r="SVQ166" s="22"/>
      <c r="SVR166" s="22"/>
      <c r="SVS166" s="22"/>
      <c r="SVT166" s="22"/>
      <c r="SVU166" s="22"/>
      <c r="SVV166" s="22"/>
      <c r="SVW166" s="22"/>
      <c r="SVX166" s="22"/>
      <c r="SVY166" s="22"/>
      <c r="SVZ166" s="22"/>
      <c r="SWA166" s="22"/>
      <c r="SWB166" s="22"/>
      <c r="SWC166" s="22"/>
      <c r="SWD166" s="22"/>
      <c r="SWE166" s="22"/>
      <c r="SWF166" s="22"/>
      <c r="SWG166" s="22"/>
      <c r="SWH166" s="22"/>
      <c r="SWI166" s="22"/>
      <c r="SWJ166" s="22"/>
      <c r="SWK166" s="22"/>
      <c r="SWL166" s="22"/>
      <c r="SWM166" s="22"/>
      <c r="SWN166" s="22"/>
      <c r="SWO166" s="22"/>
      <c r="SWP166" s="22"/>
      <c r="SWQ166" s="22"/>
      <c r="SWR166" s="22"/>
      <c r="SWS166" s="22"/>
      <c r="SWT166" s="22"/>
      <c r="SWU166" s="22"/>
      <c r="SWV166" s="22"/>
      <c r="SWW166" s="22"/>
      <c r="SWX166" s="22"/>
      <c r="SWY166" s="22"/>
      <c r="SWZ166" s="22"/>
      <c r="SXA166" s="22"/>
      <c r="SXB166" s="22"/>
      <c r="SXC166" s="22"/>
      <c r="SXD166" s="22"/>
      <c r="SXE166" s="22"/>
      <c r="SXF166" s="22"/>
      <c r="SXG166" s="22"/>
      <c r="SXH166" s="22"/>
      <c r="SXI166" s="22"/>
      <c r="SXJ166" s="22"/>
      <c r="SXK166" s="22"/>
      <c r="SXL166" s="22"/>
      <c r="SXM166" s="22"/>
      <c r="SXN166" s="22"/>
      <c r="SXO166" s="22"/>
      <c r="SXP166" s="22"/>
      <c r="SXQ166" s="22"/>
      <c r="SXR166" s="22"/>
      <c r="SXS166" s="22"/>
      <c r="SXT166" s="22"/>
      <c r="SXU166" s="22"/>
      <c r="SXV166" s="22"/>
      <c r="SXW166" s="22"/>
      <c r="SXX166" s="22"/>
      <c r="SXY166" s="22"/>
      <c r="SXZ166" s="22"/>
      <c r="SYA166" s="22"/>
      <c r="SYB166" s="22"/>
      <c r="SYC166" s="22"/>
      <c r="SYD166" s="22"/>
      <c r="SYE166" s="22"/>
      <c r="SYF166" s="22"/>
      <c r="SYG166" s="22"/>
      <c r="SYH166" s="22"/>
      <c r="SYI166" s="22"/>
      <c r="SYJ166" s="22"/>
      <c r="SYK166" s="22"/>
      <c r="SYL166" s="22"/>
      <c r="SYM166" s="22"/>
      <c r="SYN166" s="22"/>
      <c r="SYO166" s="22"/>
      <c r="SYP166" s="22"/>
      <c r="SYQ166" s="22"/>
      <c r="SYR166" s="22"/>
      <c r="SYS166" s="22"/>
      <c r="SYT166" s="22"/>
      <c r="SYU166" s="22"/>
      <c r="SYV166" s="22"/>
      <c r="SYW166" s="22"/>
      <c r="SYX166" s="22"/>
      <c r="SYY166" s="22"/>
      <c r="SYZ166" s="22"/>
      <c r="SZA166" s="22"/>
      <c r="SZB166" s="22"/>
      <c r="SZC166" s="22"/>
      <c r="SZD166" s="22"/>
      <c r="SZE166" s="22"/>
      <c r="SZF166" s="22"/>
      <c r="SZG166" s="22"/>
      <c r="SZH166" s="22"/>
      <c r="SZI166" s="22"/>
      <c r="SZJ166" s="22"/>
      <c r="SZK166" s="22"/>
      <c r="SZL166" s="22"/>
      <c r="SZM166" s="22"/>
      <c r="SZN166" s="22"/>
      <c r="SZO166" s="22"/>
      <c r="SZP166" s="22"/>
      <c r="SZQ166" s="22"/>
      <c r="SZR166" s="22"/>
      <c r="SZS166" s="22"/>
      <c r="SZT166" s="22"/>
      <c r="SZU166" s="22"/>
      <c r="SZV166" s="22"/>
      <c r="SZW166" s="22"/>
      <c r="SZX166" s="22"/>
      <c r="SZY166" s="22"/>
      <c r="SZZ166" s="22"/>
      <c r="TAA166" s="22"/>
      <c r="TAB166" s="22"/>
      <c r="TAC166" s="22"/>
      <c r="TAD166" s="22"/>
      <c r="TAE166" s="22"/>
      <c r="TAF166" s="22"/>
      <c r="TAG166" s="22"/>
      <c r="TAH166" s="22"/>
      <c r="TAI166" s="22"/>
      <c r="TAJ166" s="22"/>
      <c r="TAK166" s="22"/>
      <c r="TAL166" s="22"/>
      <c r="TAM166" s="22"/>
      <c r="TAN166" s="22"/>
      <c r="TAO166" s="22"/>
      <c r="TAP166" s="22"/>
      <c r="TAQ166" s="22"/>
      <c r="TAR166" s="22"/>
      <c r="TAS166" s="22"/>
      <c r="TAT166" s="22"/>
      <c r="TAU166" s="22"/>
      <c r="TAV166" s="22"/>
      <c r="TAW166" s="22"/>
      <c r="TAX166" s="22"/>
      <c r="TAY166" s="22"/>
      <c r="TAZ166" s="22"/>
      <c r="TBA166" s="22"/>
      <c r="TBB166" s="22"/>
      <c r="TBC166" s="22"/>
      <c r="TBD166" s="22"/>
      <c r="TBE166" s="22"/>
      <c r="TBF166" s="22"/>
      <c r="TBG166" s="22"/>
      <c r="TBH166" s="22"/>
      <c r="TBI166" s="22"/>
      <c r="TBJ166" s="22"/>
      <c r="TBK166" s="22"/>
      <c r="TBL166" s="22"/>
      <c r="TBM166" s="22"/>
      <c r="TBN166" s="22"/>
      <c r="TBO166" s="22"/>
      <c r="TBP166" s="22"/>
      <c r="TBQ166" s="22"/>
      <c r="TBR166" s="22"/>
      <c r="TBS166" s="22"/>
      <c r="TBT166" s="22"/>
      <c r="TBU166" s="22"/>
      <c r="TBV166" s="22"/>
      <c r="TBW166" s="22"/>
      <c r="TBX166" s="22"/>
      <c r="TBY166" s="22"/>
      <c r="TBZ166" s="22"/>
      <c r="TCA166" s="22"/>
      <c r="TCB166" s="22"/>
      <c r="TCC166" s="22"/>
      <c r="TCD166" s="22"/>
      <c r="TCE166" s="22"/>
      <c r="TCF166" s="22"/>
      <c r="TCG166" s="22"/>
      <c r="TCH166" s="22"/>
      <c r="TCI166" s="22"/>
      <c r="TCJ166" s="22"/>
      <c r="TCK166" s="22"/>
      <c r="TCL166" s="22"/>
      <c r="TCM166" s="22"/>
      <c r="TCN166" s="22"/>
      <c r="TCO166" s="22"/>
      <c r="TCP166" s="22"/>
      <c r="TCQ166" s="22"/>
      <c r="TCR166" s="22"/>
      <c r="TCS166" s="22"/>
      <c r="TCT166" s="22"/>
      <c r="TCU166" s="22"/>
      <c r="TCV166" s="22"/>
      <c r="TCW166" s="22"/>
      <c r="TCX166" s="22"/>
      <c r="TCY166" s="22"/>
      <c r="TCZ166" s="22"/>
      <c r="TDA166" s="22"/>
      <c r="TDB166" s="22"/>
      <c r="TDC166" s="22"/>
      <c r="TDD166" s="22"/>
      <c r="TDE166" s="22"/>
      <c r="TDF166" s="22"/>
      <c r="TDG166" s="22"/>
      <c r="TDH166" s="22"/>
      <c r="TDI166" s="22"/>
      <c r="TDJ166" s="22"/>
      <c r="TDK166" s="22"/>
      <c r="TDL166" s="22"/>
      <c r="TDM166" s="22"/>
      <c r="TDN166" s="22"/>
      <c r="TDO166" s="22"/>
      <c r="TDP166" s="22"/>
      <c r="TDQ166" s="22"/>
      <c r="TDR166" s="22"/>
      <c r="TDS166" s="22"/>
      <c r="TDT166" s="22"/>
      <c r="TDU166" s="22"/>
      <c r="TDV166" s="22"/>
      <c r="TDW166" s="22"/>
      <c r="TDX166" s="22"/>
      <c r="TDY166" s="22"/>
      <c r="TDZ166" s="22"/>
      <c r="TEA166" s="22"/>
      <c r="TEB166" s="22"/>
      <c r="TEC166" s="22"/>
      <c r="TED166" s="22"/>
      <c r="TEE166" s="22"/>
      <c r="TEF166" s="22"/>
      <c r="TEG166" s="22"/>
      <c r="TEH166" s="22"/>
      <c r="TEI166" s="22"/>
      <c r="TEJ166" s="22"/>
      <c r="TEK166" s="22"/>
      <c r="TEL166" s="22"/>
      <c r="TEM166" s="22"/>
      <c r="TEN166" s="22"/>
      <c r="TEO166" s="22"/>
      <c r="TEP166" s="22"/>
      <c r="TEQ166" s="22"/>
      <c r="TER166" s="22"/>
      <c r="TES166" s="22"/>
      <c r="TET166" s="22"/>
      <c r="TEU166" s="22"/>
      <c r="TEV166" s="22"/>
      <c r="TEW166" s="22"/>
      <c r="TEX166" s="22"/>
      <c r="TEY166" s="22"/>
      <c r="TEZ166" s="22"/>
      <c r="TFA166" s="22"/>
      <c r="TFB166" s="22"/>
      <c r="TFC166" s="22"/>
      <c r="TFD166" s="22"/>
      <c r="TFE166" s="22"/>
      <c r="TFF166" s="22"/>
      <c r="TFG166" s="22"/>
      <c r="TFH166" s="22"/>
      <c r="TFI166" s="22"/>
      <c r="TFJ166" s="22"/>
      <c r="TFK166" s="22"/>
      <c r="TFL166" s="22"/>
      <c r="TFM166" s="22"/>
      <c r="TFN166" s="22"/>
      <c r="TFO166" s="22"/>
      <c r="TFP166" s="22"/>
      <c r="TFQ166" s="22"/>
      <c r="TFR166" s="22"/>
      <c r="TFS166" s="22"/>
      <c r="TFT166" s="22"/>
      <c r="TFU166" s="22"/>
      <c r="TFV166" s="22"/>
      <c r="TFW166" s="22"/>
      <c r="TFX166" s="22"/>
      <c r="TFY166" s="22"/>
      <c r="TFZ166" s="22"/>
      <c r="TGA166" s="22"/>
      <c r="TGB166" s="22"/>
      <c r="TGC166" s="22"/>
      <c r="TGD166" s="22"/>
      <c r="TGE166" s="22"/>
      <c r="TGF166" s="22"/>
      <c r="TGG166" s="22"/>
      <c r="TGH166" s="22"/>
      <c r="TGI166" s="22"/>
      <c r="TGJ166" s="22"/>
      <c r="TGK166" s="22"/>
      <c r="TGL166" s="22"/>
      <c r="TGM166" s="22"/>
      <c r="TGN166" s="22"/>
      <c r="TGO166" s="22"/>
      <c r="TGP166" s="22"/>
      <c r="TGQ166" s="22"/>
      <c r="TGR166" s="22"/>
      <c r="TGS166" s="22"/>
      <c r="TGT166" s="22"/>
      <c r="TGU166" s="22"/>
      <c r="TGV166" s="22"/>
      <c r="TGW166" s="22"/>
      <c r="TGX166" s="22"/>
      <c r="TGY166" s="22"/>
      <c r="TGZ166" s="22"/>
      <c r="THA166" s="22"/>
      <c r="THB166" s="22"/>
      <c r="THC166" s="22"/>
      <c r="THD166" s="22"/>
      <c r="THE166" s="22"/>
      <c r="THF166" s="22"/>
      <c r="THG166" s="22"/>
      <c r="THH166" s="22"/>
      <c r="THI166" s="22"/>
      <c r="THJ166" s="22"/>
      <c r="THK166" s="22"/>
      <c r="THL166" s="22"/>
      <c r="THM166" s="22"/>
      <c r="THN166" s="22"/>
      <c r="THO166" s="22"/>
      <c r="THP166" s="22"/>
      <c r="THQ166" s="22"/>
      <c r="THR166" s="22"/>
      <c r="THS166" s="22"/>
      <c r="THT166" s="22"/>
      <c r="THU166" s="22"/>
      <c r="THV166" s="22"/>
      <c r="THW166" s="22"/>
      <c r="THX166" s="22"/>
      <c r="THY166" s="22"/>
      <c r="THZ166" s="22"/>
      <c r="TIA166" s="22"/>
      <c r="TIB166" s="22"/>
      <c r="TIC166" s="22"/>
      <c r="TID166" s="22"/>
      <c r="TIE166" s="22"/>
      <c r="TIF166" s="22"/>
      <c r="TIG166" s="22"/>
      <c r="TIH166" s="22"/>
      <c r="TII166" s="22"/>
      <c r="TIJ166" s="22"/>
      <c r="TIK166" s="22"/>
      <c r="TIL166" s="22"/>
      <c r="TIM166" s="22"/>
      <c r="TIN166" s="22"/>
      <c r="TIO166" s="22"/>
      <c r="TIP166" s="22"/>
      <c r="TIQ166" s="22"/>
      <c r="TIR166" s="22"/>
      <c r="TIS166" s="22"/>
      <c r="TIT166" s="22"/>
      <c r="TIU166" s="22"/>
      <c r="TIV166" s="22"/>
      <c r="TIW166" s="22"/>
      <c r="TIX166" s="22"/>
      <c r="TIY166" s="22"/>
      <c r="TIZ166" s="22"/>
      <c r="TJA166" s="22"/>
      <c r="TJB166" s="22"/>
      <c r="TJC166" s="22"/>
      <c r="TJD166" s="22"/>
      <c r="TJE166" s="22"/>
      <c r="TJF166" s="22"/>
      <c r="TJG166" s="22"/>
      <c r="TJH166" s="22"/>
      <c r="TJI166" s="22"/>
      <c r="TJJ166" s="22"/>
      <c r="TJK166" s="22"/>
      <c r="TJL166" s="22"/>
      <c r="TJM166" s="22"/>
      <c r="TJN166" s="22"/>
      <c r="TJO166" s="22"/>
      <c r="TJP166" s="22"/>
      <c r="TJQ166" s="22"/>
      <c r="TJR166" s="22"/>
      <c r="TJS166" s="22"/>
      <c r="TJT166" s="22"/>
      <c r="TJU166" s="22"/>
      <c r="TJV166" s="22"/>
      <c r="TJW166" s="22"/>
      <c r="TJX166" s="22"/>
      <c r="TJY166" s="22"/>
      <c r="TJZ166" s="22"/>
      <c r="TKA166" s="22"/>
      <c r="TKB166" s="22"/>
      <c r="TKC166" s="22"/>
      <c r="TKD166" s="22"/>
      <c r="TKE166" s="22"/>
      <c r="TKF166" s="22"/>
      <c r="TKG166" s="22"/>
      <c r="TKH166" s="22"/>
      <c r="TKI166" s="22"/>
      <c r="TKJ166" s="22"/>
      <c r="TKK166" s="22"/>
      <c r="TKL166" s="22"/>
      <c r="TKM166" s="22"/>
      <c r="TKN166" s="22"/>
      <c r="TKO166" s="22"/>
      <c r="TKP166" s="22"/>
      <c r="TKQ166" s="22"/>
      <c r="TKR166" s="22"/>
      <c r="TKS166" s="22"/>
      <c r="TKT166" s="22"/>
      <c r="TKU166" s="22"/>
      <c r="TKV166" s="22"/>
      <c r="TKW166" s="22"/>
      <c r="TKX166" s="22"/>
      <c r="TKY166" s="22"/>
      <c r="TKZ166" s="22"/>
      <c r="TLA166" s="22"/>
      <c r="TLB166" s="22"/>
      <c r="TLC166" s="22"/>
      <c r="TLD166" s="22"/>
      <c r="TLE166" s="22"/>
      <c r="TLF166" s="22"/>
      <c r="TLG166" s="22"/>
      <c r="TLH166" s="22"/>
      <c r="TLI166" s="22"/>
      <c r="TLJ166" s="22"/>
      <c r="TLK166" s="22"/>
      <c r="TLL166" s="22"/>
      <c r="TLM166" s="22"/>
      <c r="TLN166" s="22"/>
      <c r="TLO166" s="22"/>
      <c r="TLP166" s="22"/>
      <c r="TLQ166" s="22"/>
      <c r="TLR166" s="22"/>
      <c r="TLS166" s="22"/>
      <c r="TLT166" s="22"/>
      <c r="TLU166" s="22"/>
      <c r="TLV166" s="22"/>
      <c r="TLW166" s="22"/>
      <c r="TLX166" s="22"/>
      <c r="TLY166" s="22"/>
      <c r="TLZ166" s="22"/>
      <c r="TMA166" s="22"/>
      <c r="TMB166" s="22"/>
      <c r="TMC166" s="22"/>
      <c r="TMD166" s="22"/>
      <c r="TME166" s="22"/>
      <c r="TMF166" s="22"/>
      <c r="TMG166" s="22"/>
      <c r="TMH166" s="22"/>
      <c r="TMI166" s="22"/>
      <c r="TMJ166" s="22"/>
      <c r="TMK166" s="22"/>
      <c r="TML166" s="22"/>
      <c r="TMM166" s="22"/>
      <c r="TMN166" s="22"/>
      <c r="TMO166" s="22"/>
      <c r="TMP166" s="22"/>
      <c r="TMQ166" s="22"/>
      <c r="TMR166" s="22"/>
      <c r="TMS166" s="22"/>
      <c r="TMT166" s="22"/>
      <c r="TMU166" s="22"/>
      <c r="TMV166" s="22"/>
      <c r="TMW166" s="22"/>
      <c r="TMX166" s="22"/>
      <c r="TMY166" s="22"/>
      <c r="TMZ166" s="22"/>
      <c r="TNA166" s="22"/>
      <c r="TNB166" s="22"/>
      <c r="TNC166" s="22"/>
      <c r="TND166" s="22"/>
      <c r="TNE166" s="22"/>
      <c r="TNF166" s="22"/>
      <c r="TNG166" s="22"/>
      <c r="TNH166" s="22"/>
      <c r="TNI166" s="22"/>
      <c r="TNJ166" s="22"/>
      <c r="TNK166" s="22"/>
      <c r="TNL166" s="22"/>
      <c r="TNM166" s="22"/>
      <c r="TNN166" s="22"/>
      <c r="TNO166" s="22"/>
      <c r="TNP166" s="22"/>
      <c r="TNQ166" s="22"/>
      <c r="TNR166" s="22"/>
      <c r="TNS166" s="22"/>
      <c r="TNT166" s="22"/>
      <c r="TNU166" s="22"/>
      <c r="TNV166" s="22"/>
      <c r="TNW166" s="22"/>
      <c r="TNX166" s="22"/>
      <c r="TNY166" s="22"/>
      <c r="TNZ166" s="22"/>
      <c r="TOA166" s="22"/>
      <c r="TOB166" s="22"/>
      <c r="TOC166" s="22"/>
      <c r="TOD166" s="22"/>
      <c r="TOE166" s="22"/>
      <c r="TOF166" s="22"/>
      <c r="TOG166" s="22"/>
      <c r="TOH166" s="22"/>
      <c r="TOI166" s="22"/>
      <c r="TOJ166" s="22"/>
      <c r="TOK166" s="22"/>
      <c r="TOL166" s="22"/>
      <c r="TOM166" s="22"/>
      <c r="TON166" s="22"/>
      <c r="TOO166" s="22"/>
      <c r="TOP166" s="22"/>
      <c r="TOQ166" s="22"/>
      <c r="TOR166" s="22"/>
      <c r="TOS166" s="22"/>
      <c r="TOT166" s="22"/>
      <c r="TOU166" s="22"/>
      <c r="TOV166" s="22"/>
      <c r="TOW166" s="22"/>
      <c r="TOX166" s="22"/>
      <c r="TOY166" s="22"/>
      <c r="TOZ166" s="22"/>
      <c r="TPA166" s="22"/>
      <c r="TPB166" s="22"/>
      <c r="TPC166" s="22"/>
      <c r="TPD166" s="22"/>
      <c r="TPE166" s="22"/>
      <c r="TPF166" s="22"/>
      <c r="TPG166" s="22"/>
      <c r="TPH166" s="22"/>
      <c r="TPI166" s="22"/>
      <c r="TPJ166" s="22"/>
      <c r="TPK166" s="22"/>
      <c r="TPL166" s="22"/>
      <c r="TPM166" s="22"/>
      <c r="TPN166" s="22"/>
      <c r="TPO166" s="22"/>
      <c r="TPP166" s="22"/>
      <c r="TPQ166" s="22"/>
      <c r="TPR166" s="22"/>
      <c r="TPS166" s="22"/>
      <c r="TPT166" s="22"/>
      <c r="TPU166" s="22"/>
      <c r="TPV166" s="22"/>
      <c r="TPW166" s="22"/>
      <c r="TPX166" s="22"/>
      <c r="TPY166" s="22"/>
      <c r="TPZ166" s="22"/>
      <c r="TQA166" s="22"/>
      <c r="TQB166" s="22"/>
      <c r="TQC166" s="22"/>
      <c r="TQD166" s="22"/>
      <c r="TQE166" s="22"/>
      <c r="TQF166" s="22"/>
      <c r="TQG166" s="22"/>
      <c r="TQH166" s="22"/>
      <c r="TQI166" s="22"/>
      <c r="TQJ166" s="22"/>
      <c r="TQK166" s="22"/>
      <c r="TQL166" s="22"/>
      <c r="TQM166" s="22"/>
      <c r="TQN166" s="22"/>
      <c r="TQO166" s="22"/>
      <c r="TQP166" s="22"/>
      <c r="TQQ166" s="22"/>
      <c r="TQR166" s="22"/>
      <c r="TQS166" s="22"/>
      <c r="TQT166" s="22"/>
      <c r="TQU166" s="22"/>
      <c r="TQV166" s="22"/>
      <c r="TQW166" s="22"/>
      <c r="TQX166" s="22"/>
      <c r="TQY166" s="22"/>
      <c r="TQZ166" s="22"/>
      <c r="TRA166" s="22"/>
      <c r="TRB166" s="22"/>
      <c r="TRC166" s="22"/>
      <c r="TRD166" s="22"/>
      <c r="TRE166" s="22"/>
      <c r="TRF166" s="22"/>
      <c r="TRG166" s="22"/>
      <c r="TRH166" s="22"/>
      <c r="TRI166" s="22"/>
      <c r="TRJ166" s="22"/>
      <c r="TRK166" s="22"/>
      <c r="TRL166" s="22"/>
      <c r="TRM166" s="22"/>
      <c r="TRN166" s="22"/>
      <c r="TRO166" s="22"/>
      <c r="TRP166" s="22"/>
      <c r="TRQ166" s="22"/>
      <c r="TRR166" s="22"/>
      <c r="TRS166" s="22"/>
      <c r="TRT166" s="22"/>
      <c r="TRU166" s="22"/>
      <c r="TRV166" s="22"/>
      <c r="TRW166" s="22"/>
      <c r="TRX166" s="22"/>
      <c r="TRY166" s="22"/>
      <c r="TRZ166" s="22"/>
      <c r="TSA166" s="22"/>
      <c r="TSB166" s="22"/>
      <c r="TSC166" s="22"/>
      <c r="TSD166" s="22"/>
      <c r="TSE166" s="22"/>
      <c r="TSF166" s="22"/>
      <c r="TSG166" s="22"/>
      <c r="TSH166" s="22"/>
      <c r="TSI166" s="22"/>
      <c r="TSJ166" s="22"/>
      <c r="TSK166" s="22"/>
      <c r="TSL166" s="22"/>
      <c r="TSM166" s="22"/>
      <c r="TSN166" s="22"/>
      <c r="TSO166" s="22"/>
      <c r="TSP166" s="22"/>
      <c r="TSQ166" s="22"/>
      <c r="TSR166" s="22"/>
      <c r="TSS166" s="22"/>
      <c r="TST166" s="22"/>
      <c r="TSU166" s="22"/>
      <c r="TSV166" s="22"/>
      <c r="TSW166" s="22"/>
      <c r="TSX166" s="22"/>
      <c r="TSY166" s="22"/>
      <c r="TSZ166" s="22"/>
      <c r="TTA166" s="22"/>
      <c r="TTB166" s="22"/>
      <c r="TTC166" s="22"/>
      <c r="TTD166" s="22"/>
      <c r="TTE166" s="22"/>
      <c r="TTF166" s="22"/>
      <c r="TTG166" s="22"/>
      <c r="TTH166" s="22"/>
      <c r="TTI166" s="22"/>
      <c r="TTJ166" s="22"/>
      <c r="TTK166" s="22"/>
      <c r="TTL166" s="22"/>
      <c r="TTM166" s="22"/>
      <c r="TTN166" s="22"/>
      <c r="TTO166" s="22"/>
      <c r="TTP166" s="22"/>
      <c r="TTQ166" s="22"/>
      <c r="TTR166" s="22"/>
      <c r="TTS166" s="22"/>
      <c r="TTT166" s="22"/>
      <c r="TTU166" s="22"/>
      <c r="TTV166" s="22"/>
      <c r="TTW166" s="22"/>
      <c r="TTX166" s="22"/>
      <c r="TTY166" s="22"/>
      <c r="TTZ166" s="22"/>
      <c r="TUA166" s="22"/>
      <c r="TUB166" s="22"/>
      <c r="TUC166" s="22"/>
      <c r="TUD166" s="22"/>
      <c r="TUE166" s="22"/>
      <c r="TUF166" s="22"/>
      <c r="TUG166" s="22"/>
      <c r="TUH166" s="22"/>
      <c r="TUI166" s="22"/>
      <c r="TUJ166" s="22"/>
      <c r="TUK166" s="22"/>
      <c r="TUL166" s="22"/>
      <c r="TUM166" s="22"/>
      <c r="TUN166" s="22"/>
      <c r="TUO166" s="22"/>
      <c r="TUP166" s="22"/>
      <c r="TUQ166" s="22"/>
      <c r="TUR166" s="22"/>
      <c r="TUS166" s="22"/>
      <c r="TUT166" s="22"/>
      <c r="TUU166" s="22"/>
      <c r="TUV166" s="22"/>
      <c r="TUW166" s="22"/>
      <c r="TUX166" s="22"/>
      <c r="TUY166" s="22"/>
      <c r="TUZ166" s="22"/>
      <c r="TVA166" s="22"/>
      <c r="TVB166" s="22"/>
      <c r="TVC166" s="22"/>
      <c r="TVD166" s="22"/>
      <c r="TVE166" s="22"/>
      <c r="TVF166" s="22"/>
      <c r="TVG166" s="22"/>
      <c r="TVH166" s="22"/>
      <c r="TVI166" s="22"/>
      <c r="TVJ166" s="22"/>
      <c r="TVK166" s="22"/>
      <c r="TVL166" s="22"/>
      <c r="TVM166" s="22"/>
      <c r="TVN166" s="22"/>
      <c r="TVO166" s="22"/>
      <c r="TVP166" s="22"/>
      <c r="TVQ166" s="22"/>
      <c r="TVR166" s="22"/>
      <c r="TVS166" s="22"/>
      <c r="TVT166" s="22"/>
      <c r="TVU166" s="22"/>
      <c r="TVV166" s="22"/>
      <c r="TVW166" s="22"/>
      <c r="TVX166" s="22"/>
      <c r="TVY166" s="22"/>
      <c r="TVZ166" s="22"/>
      <c r="TWA166" s="22"/>
      <c r="TWB166" s="22"/>
      <c r="TWC166" s="22"/>
      <c r="TWD166" s="22"/>
      <c r="TWE166" s="22"/>
      <c r="TWF166" s="22"/>
      <c r="TWG166" s="22"/>
      <c r="TWH166" s="22"/>
      <c r="TWI166" s="22"/>
      <c r="TWJ166" s="22"/>
      <c r="TWK166" s="22"/>
      <c r="TWL166" s="22"/>
      <c r="TWM166" s="22"/>
      <c r="TWN166" s="22"/>
      <c r="TWO166" s="22"/>
      <c r="TWP166" s="22"/>
      <c r="TWQ166" s="22"/>
      <c r="TWR166" s="22"/>
      <c r="TWS166" s="22"/>
      <c r="TWT166" s="22"/>
      <c r="TWU166" s="22"/>
      <c r="TWV166" s="22"/>
      <c r="TWW166" s="22"/>
      <c r="TWX166" s="22"/>
      <c r="TWY166" s="22"/>
      <c r="TWZ166" s="22"/>
      <c r="TXA166" s="22"/>
      <c r="TXB166" s="22"/>
      <c r="TXC166" s="22"/>
      <c r="TXD166" s="22"/>
      <c r="TXE166" s="22"/>
      <c r="TXF166" s="22"/>
      <c r="TXG166" s="22"/>
      <c r="TXH166" s="22"/>
      <c r="TXI166" s="22"/>
      <c r="TXJ166" s="22"/>
      <c r="TXK166" s="22"/>
      <c r="TXL166" s="22"/>
      <c r="TXM166" s="22"/>
      <c r="TXN166" s="22"/>
      <c r="TXO166" s="22"/>
      <c r="TXP166" s="22"/>
      <c r="TXQ166" s="22"/>
      <c r="TXR166" s="22"/>
      <c r="TXS166" s="22"/>
      <c r="TXT166" s="22"/>
      <c r="TXU166" s="22"/>
      <c r="TXV166" s="22"/>
      <c r="TXW166" s="22"/>
      <c r="TXX166" s="22"/>
      <c r="TXY166" s="22"/>
      <c r="TXZ166" s="22"/>
      <c r="TYA166" s="22"/>
      <c r="TYB166" s="22"/>
      <c r="TYC166" s="22"/>
      <c r="TYD166" s="22"/>
      <c r="TYE166" s="22"/>
      <c r="TYF166" s="22"/>
      <c r="TYG166" s="22"/>
      <c r="TYH166" s="22"/>
      <c r="TYI166" s="22"/>
      <c r="TYJ166" s="22"/>
      <c r="TYK166" s="22"/>
      <c r="TYL166" s="22"/>
      <c r="TYM166" s="22"/>
      <c r="TYN166" s="22"/>
      <c r="TYO166" s="22"/>
      <c r="TYP166" s="22"/>
      <c r="TYQ166" s="22"/>
      <c r="TYR166" s="22"/>
      <c r="TYS166" s="22"/>
      <c r="TYT166" s="22"/>
      <c r="TYU166" s="22"/>
      <c r="TYV166" s="22"/>
      <c r="TYW166" s="22"/>
      <c r="TYX166" s="22"/>
      <c r="TYY166" s="22"/>
      <c r="TYZ166" s="22"/>
      <c r="TZA166" s="22"/>
      <c r="TZB166" s="22"/>
      <c r="TZC166" s="22"/>
      <c r="TZD166" s="22"/>
      <c r="TZE166" s="22"/>
      <c r="TZF166" s="22"/>
      <c r="TZG166" s="22"/>
      <c r="TZH166" s="22"/>
      <c r="TZI166" s="22"/>
      <c r="TZJ166" s="22"/>
      <c r="TZK166" s="22"/>
      <c r="TZL166" s="22"/>
      <c r="TZM166" s="22"/>
      <c r="TZN166" s="22"/>
      <c r="TZO166" s="22"/>
      <c r="TZP166" s="22"/>
      <c r="TZQ166" s="22"/>
      <c r="TZR166" s="22"/>
      <c r="TZS166" s="22"/>
      <c r="TZT166" s="22"/>
      <c r="TZU166" s="22"/>
      <c r="TZV166" s="22"/>
      <c r="TZW166" s="22"/>
      <c r="TZX166" s="22"/>
      <c r="TZY166" s="22"/>
      <c r="TZZ166" s="22"/>
      <c r="UAA166" s="22"/>
      <c r="UAB166" s="22"/>
      <c r="UAC166" s="22"/>
      <c r="UAD166" s="22"/>
      <c r="UAE166" s="22"/>
      <c r="UAF166" s="22"/>
      <c r="UAG166" s="22"/>
      <c r="UAH166" s="22"/>
      <c r="UAI166" s="22"/>
      <c r="UAJ166" s="22"/>
      <c r="UAK166" s="22"/>
      <c r="UAL166" s="22"/>
      <c r="UAM166" s="22"/>
      <c r="UAN166" s="22"/>
      <c r="UAO166" s="22"/>
      <c r="UAP166" s="22"/>
      <c r="UAQ166" s="22"/>
      <c r="UAR166" s="22"/>
      <c r="UAS166" s="22"/>
      <c r="UAT166" s="22"/>
      <c r="UAU166" s="22"/>
      <c r="UAV166" s="22"/>
      <c r="UAW166" s="22"/>
      <c r="UAX166" s="22"/>
      <c r="UAY166" s="22"/>
      <c r="UAZ166" s="22"/>
      <c r="UBA166" s="22"/>
      <c r="UBB166" s="22"/>
      <c r="UBC166" s="22"/>
      <c r="UBD166" s="22"/>
      <c r="UBE166" s="22"/>
      <c r="UBF166" s="22"/>
      <c r="UBG166" s="22"/>
      <c r="UBH166" s="22"/>
      <c r="UBI166" s="22"/>
      <c r="UBJ166" s="22"/>
      <c r="UBK166" s="22"/>
      <c r="UBL166" s="22"/>
      <c r="UBM166" s="22"/>
      <c r="UBN166" s="22"/>
      <c r="UBO166" s="22"/>
      <c r="UBP166" s="22"/>
      <c r="UBQ166" s="22"/>
      <c r="UBR166" s="22"/>
      <c r="UBS166" s="22"/>
      <c r="UBT166" s="22"/>
      <c r="UBU166" s="22"/>
      <c r="UBV166" s="22"/>
      <c r="UBW166" s="22"/>
      <c r="UBX166" s="22"/>
      <c r="UBY166" s="22"/>
      <c r="UBZ166" s="22"/>
      <c r="UCA166" s="22"/>
      <c r="UCB166" s="22"/>
      <c r="UCC166" s="22"/>
      <c r="UCD166" s="22"/>
      <c r="UCE166" s="22"/>
      <c r="UCF166" s="22"/>
      <c r="UCG166" s="22"/>
      <c r="UCH166" s="22"/>
      <c r="UCI166" s="22"/>
      <c r="UCJ166" s="22"/>
      <c r="UCK166" s="22"/>
      <c r="UCL166" s="22"/>
      <c r="UCM166" s="22"/>
      <c r="UCN166" s="22"/>
      <c r="UCO166" s="22"/>
      <c r="UCP166" s="22"/>
      <c r="UCQ166" s="22"/>
      <c r="UCR166" s="22"/>
      <c r="UCS166" s="22"/>
      <c r="UCT166" s="22"/>
      <c r="UCU166" s="22"/>
      <c r="UCV166" s="22"/>
      <c r="UCW166" s="22"/>
      <c r="UCX166" s="22"/>
      <c r="UCY166" s="22"/>
      <c r="UCZ166" s="22"/>
      <c r="UDA166" s="22"/>
      <c r="UDB166" s="22"/>
      <c r="UDC166" s="22"/>
      <c r="UDD166" s="22"/>
      <c r="UDE166" s="22"/>
      <c r="UDF166" s="22"/>
      <c r="UDG166" s="22"/>
      <c r="UDH166" s="22"/>
      <c r="UDI166" s="22"/>
      <c r="UDJ166" s="22"/>
      <c r="UDK166" s="22"/>
      <c r="UDL166" s="22"/>
      <c r="UDM166" s="22"/>
      <c r="UDN166" s="22"/>
      <c r="UDO166" s="22"/>
      <c r="UDP166" s="22"/>
      <c r="UDQ166" s="22"/>
      <c r="UDR166" s="22"/>
      <c r="UDS166" s="22"/>
      <c r="UDT166" s="22"/>
      <c r="UDU166" s="22"/>
      <c r="UDV166" s="22"/>
      <c r="UDW166" s="22"/>
      <c r="UDX166" s="22"/>
      <c r="UDY166" s="22"/>
      <c r="UDZ166" s="22"/>
      <c r="UEA166" s="22"/>
      <c r="UEB166" s="22"/>
      <c r="UEC166" s="22"/>
      <c r="UED166" s="22"/>
      <c r="UEE166" s="22"/>
      <c r="UEF166" s="22"/>
      <c r="UEG166" s="22"/>
      <c r="UEH166" s="22"/>
      <c r="UEI166" s="22"/>
      <c r="UEJ166" s="22"/>
      <c r="UEK166" s="22"/>
      <c r="UEL166" s="22"/>
      <c r="UEM166" s="22"/>
      <c r="UEN166" s="22"/>
      <c r="UEO166" s="22"/>
      <c r="UEP166" s="22"/>
      <c r="UEQ166" s="22"/>
      <c r="UER166" s="22"/>
      <c r="UES166" s="22"/>
      <c r="UET166" s="22"/>
      <c r="UEU166" s="22"/>
      <c r="UEV166" s="22"/>
      <c r="UEW166" s="22"/>
      <c r="UEX166" s="22"/>
      <c r="UEY166" s="22"/>
      <c r="UEZ166" s="22"/>
      <c r="UFA166" s="22"/>
      <c r="UFB166" s="22"/>
      <c r="UFC166" s="22"/>
      <c r="UFD166" s="22"/>
      <c r="UFE166" s="22"/>
      <c r="UFF166" s="22"/>
      <c r="UFG166" s="22"/>
      <c r="UFH166" s="22"/>
      <c r="UFI166" s="22"/>
      <c r="UFJ166" s="22"/>
      <c r="UFK166" s="22"/>
      <c r="UFL166" s="22"/>
      <c r="UFM166" s="22"/>
      <c r="UFN166" s="22"/>
      <c r="UFO166" s="22"/>
      <c r="UFP166" s="22"/>
      <c r="UFQ166" s="22"/>
      <c r="UFR166" s="22"/>
      <c r="UFS166" s="22"/>
      <c r="UFT166" s="22"/>
      <c r="UFU166" s="22"/>
      <c r="UFV166" s="22"/>
      <c r="UFW166" s="22"/>
      <c r="UFX166" s="22"/>
      <c r="UFY166" s="22"/>
      <c r="UFZ166" s="22"/>
      <c r="UGA166" s="22"/>
      <c r="UGB166" s="22"/>
      <c r="UGC166" s="22"/>
      <c r="UGD166" s="22"/>
      <c r="UGE166" s="22"/>
      <c r="UGF166" s="22"/>
      <c r="UGG166" s="22"/>
      <c r="UGH166" s="22"/>
      <c r="UGI166" s="22"/>
      <c r="UGJ166" s="22"/>
      <c r="UGK166" s="22"/>
      <c r="UGL166" s="22"/>
      <c r="UGM166" s="22"/>
      <c r="UGN166" s="22"/>
      <c r="UGO166" s="22"/>
      <c r="UGP166" s="22"/>
      <c r="UGQ166" s="22"/>
      <c r="UGR166" s="22"/>
      <c r="UGS166" s="22"/>
      <c r="UGT166" s="22"/>
      <c r="UGU166" s="22"/>
      <c r="UGV166" s="22"/>
      <c r="UGW166" s="22"/>
      <c r="UGX166" s="22"/>
      <c r="UGY166" s="22"/>
      <c r="UGZ166" s="22"/>
      <c r="UHA166" s="22"/>
      <c r="UHB166" s="22"/>
      <c r="UHC166" s="22"/>
      <c r="UHD166" s="22"/>
      <c r="UHE166" s="22"/>
      <c r="UHF166" s="22"/>
      <c r="UHG166" s="22"/>
      <c r="UHH166" s="22"/>
      <c r="UHI166" s="22"/>
      <c r="UHJ166" s="22"/>
      <c r="UHK166" s="22"/>
      <c r="UHL166" s="22"/>
      <c r="UHM166" s="22"/>
      <c r="UHN166" s="22"/>
      <c r="UHO166" s="22"/>
      <c r="UHP166" s="22"/>
      <c r="UHQ166" s="22"/>
      <c r="UHR166" s="22"/>
      <c r="UHS166" s="22"/>
      <c r="UHT166" s="22"/>
      <c r="UHU166" s="22"/>
      <c r="UHV166" s="22"/>
      <c r="UHW166" s="22"/>
      <c r="UHX166" s="22"/>
      <c r="UHY166" s="22"/>
      <c r="UHZ166" s="22"/>
      <c r="UIA166" s="22"/>
      <c r="UIB166" s="22"/>
      <c r="UIC166" s="22"/>
      <c r="UID166" s="22"/>
      <c r="UIE166" s="22"/>
      <c r="UIF166" s="22"/>
      <c r="UIG166" s="22"/>
      <c r="UIH166" s="22"/>
      <c r="UII166" s="22"/>
      <c r="UIJ166" s="22"/>
      <c r="UIK166" s="22"/>
      <c r="UIL166" s="22"/>
      <c r="UIM166" s="22"/>
      <c r="UIN166" s="22"/>
      <c r="UIO166" s="22"/>
      <c r="UIP166" s="22"/>
      <c r="UIQ166" s="22"/>
      <c r="UIR166" s="22"/>
      <c r="UIS166" s="22"/>
      <c r="UIT166" s="22"/>
      <c r="UIU166" s="22"/>
      <c r="UIV166" s="22"/>
      <c r="UIW166" s="22"/>
      <c r="UIX166" s="22"/>
      <c r="UIY166" s="22"/>
      <c r="UIZ166" s="22"/>
      <c r="UJA166" s="22"/>
      <c r="UJB166" s="22"/>
      <c r="UJC166" s="22"/>
      <c r="UJD166" s="22"/>
      <c r="UJE166" s="22"/>
      <c r="UJF166" s="22"/>
      <c r="UJG166" s="22"/>
      <c r="UJH166" s="22"/>
      <c r="UJI166" s="22"/>
      <c r="UJJ166" s="22"/>
      <c r="UJK166" s="22"/>
      <c r="UJL166" s="22"/>
      <c r="UJM166" s="22"/>
      <c r="UJN166" s="22"/>
      <c r="UJO166" s="22"/>
      <c r="UJP166" s="22"/>
      <c r="UJQ166" s="22"/>
      <c r="UJR166" s="22"/>
      <c r="UJS166" s="22"/>
      <c r="UJT166" s="22"/>
      <c r="UJU166" s="22"/>
      <c r="UJV166" s="22"/>
      <c r="UJW166" s="22"/>
      <c r="UJX166" s="22"/>
      <c r="UJY166" s="22"/>
      <c r="UJZ166" s="22"/>
      <c r="UKA166" s="22"/>
      <c r="UKB166" s="22"/>
      <c r="UKC166" s="22"/>
      <c r="UKD166" s="22"/>
      <c r="UKE166" s="22"/>
      <c r="UKF166" s="22"/>
      <c r="UKG166" s="22"/>
      <c r="UKH166" s="22"/>
      <c r="UKI166" s="22"/>
      <c r="UKJ166" s="22"/>
      <c r="UKK166" s="22"/>
      <c r="UKL166" s="22"/>
      <c r="UKM166" s="22"/>
      <c r="UKN166" s="22"/>
      <c r="UKO166" s="22"/>
      <c r="UKP166" s="22"/>
      <c r="UKQ166" s="22"/>
      <c r="UKR166" s="22"/>
      <c r="UKS166" s="22"/>
      <c r="UKT166" s="22"/>
      <c r="UKU166" s="22"/>
      <c r="UKV166" s="22"/>
      <c r="UKW166" s="22"/>
      <c r="UKX166" s="22"/>
      <c r="UKY166" s="22"/>
      <c r="UKZ166" s="22"/>
      <c r="ULA166" s="22"/>
      <c r="ULB166" s="22"/>
      <c r="ULC166" s="22"/>
      <c r="ULD166" s="22"/>
      <c r="ULE166" s="22"/>
      <c r="ULF166" s="22"/>
      <c r="ULG166" s="22"/>
      <c r="ULH166" s="22"/>
      <c r="ULI166" s="22"/>
      <c r="ULJ166" s="22"/>
      <c r="ULK166" s="22"/>
      <c r="ULL166" s="22"/>
      <c r="ULM166" s="22"/>
      <c r="ULN166" s="22"/>
      <c r="ULO166" s="22"/>
      <c r="ULP166" s="22"/>
      <c r="ULQ166" s="22"/>
      <c r="ULR166" s="22"/>
      <c r="ULS166" s="22"/>
      <c r="ULT166" s="22"/>
      <c r="ULU166" s="22"/>
      <c r="ULV166" s="22"/>
      <c r="ULW166" s="22"/>
      <c r="ULX166" s="22"/>
      <c r="ULY166" s="22"/>
      <c r="ULZ166" s="22"/>
      <c r="UMA166" s="22"/>
      <c r="UMB166" s="22"/>
      <c r="UMC166" s="22"/>
      <c r="UMD166" s="22"/>
      <c r="UME166" s="22"/>
      <c r="UMF166" s="22"/>
      <c r="UMG166" s="22"/>
      <c r="UMH166" s="22"/>
      <c r="UMI166" s="22"/>
      <c r="UMJ166" s="22"/>
      <c r="UMK166" s="22"/>
      <c r="UML166" s="22"/>
      <c r="UMM166" s="22"/>
      <c r="UMN166" s="22"/>
      <c r="UMO166" s="22"/>
      <c r="UMP166" s="22"/>
      <c r="UMQ166" s="22"/>
      <c r="UMR166" s="22"/>
      <c r="UMS166" s="22"/>
      <c r="UMT166" s="22"/>
      <c r="UMU166" s="22"/>
      <c r="UMV166" s="22"/>
      <c r="UMW166" s="22"/>
      <c r="UMX166" s="22"/>
      <c r="UMY166" s="22"/>
      <c r="UMZ166" s="22"/>
      <c r="UNA166" s="22"/>
      <c r="UNB166" s="22"/>
      <c r="UNC166" s="22"/>
      <c r="UND166" s="22"/>
      <c r="UNE166" s="22"/>
      <c r="UNF166" s="22"/>
      <c r="UNG166" s="22"/>
      <c r="UNH166" s="22"/>
      <c r="UNI166" s="22"/>
      <c r="UNJ166" s="22"/>
      <c r="UNK166" s="22"/>
      <c r="UNL166" s="22"/>
      <c r="UNM166" s="22"/>
      <c r="UNN166" s="22"/>
      <c r="UNO166" s="22"/>
      <c r="UNP166" s="22"/>
      <c r="UNQ166" s="22"/>
      <c r="UNR166" s="22"/>
      <c r="UNS166" s="22"/>
      <c r="UNT166" s="22"/>
      <c r="UNU166" s="22"/>
      <c r="UNV166" s="22"/>
      <c r="UNW166" s="22"/>
      <c r="UNX166" s="22"/>
      <c r="UNY166" s="22"/>
      <c r="UNZ166" s="22"/>
      <c r="UOA166" s="22"/>
      <c r="UOB166" s="22"/>
      <c r="UOC166" s="22"/>
      <c r="UOD166" s="22"/>
      <c r="UOE166" s="22"/>
      <c r="UOF166" s="22"/>
      <c r="UOG166" s="22"/>
      <c r="UOH166" s="22"/>
      <c r="UOI166" s="22"/>
      <c r="UOJ166" s="22"/>
      <c r="UOK166" s="22"/>
      <c r="UOL166" s="22"/>
      <c r="UOM166" s="22"/>
      <c r="UON166" s="22"/>
      <c r="UOO166" s="22"/>
      <c r="UOP166" s="22"/>
      <c r="UOQ166" s="22"/>
      <c r="UOR166" s="22"/>
      <c r="UOS166" s="22"/>
      <c r="UOT166" s="22"/>
      <c r="UOU166" s="22"/>
      <c r="UOV166" s="22"/>
      <c r="UOW166" s="22"/>
      <c r="UOX166" s="22"/>
      <c r="UOY166" s="22"/>
      <c r="UOZ166" s="22"/>
      <c r="UPA166" s="22"/>
      <c r="UPB166" s="22"/>
      <c r="UPC166" s="22"/>
      <c r="UPD166" s="22"/>
      <c r="UPE166" s="22"/>
      <c r="UPF166" s="22"/>
      <c r="UPG166" s="22"/>
      <c r="UPH166" s="22"/>
      <c r="UPI166" s="22"/>
      <c r="UPJ166" s="22"/>
      <c r="UPK166" s="22"/>
      <c r="UPL166" s="22"/>
      <c r="UPM166" s="22"/>
      <c r="UPN166" s="22"/>
      <c r="UPO166" s="22"/>
      <c r="UPP166" s="22"/>
      <c r="UPQ166" s="22"/>
      <c r="UPR166" s="22"/>
      <c r="UPS166" s="22"/>
      <c r="UPT166" s="22"/>
      <c r="UPU166" s="22"/>
      <c r="UPV166" s="22"/>
      <c r="UPW166" s="22"/>
      <c r="UPX166" s="22"/>
      <c r="UPY166" s="22"/>
      <c r="UPZ166" s="22"/>
      <c r="UQA166" s="22"/>
      <c r="UQB166" s="22"/>
      <c r="UQC166" s="22"/>
      <c r="UQD166" s="22"/>
      <c r="UQE166" s="22"/>
      <c r="UQF166" s="22"/>
      <c r="UQG166" s="22"/>
      <c r="UQH166" s="22"/>
      <c r="UQI166" s="22"/>
      <c r="UQJ166" s="22"/>
      <c r="UQK166" s="22"/>
      <c r="UQL166" s="22"/>
      <c r="UQM166" s="22"/>
      <c r="UQN166" s="22"/>
      <c r="UQO166" s="22"/>
      <c r="UQP166" s="22"/>
      <c r="UQQ166" s="22"/>
      <c r="UQR166" s="22"/>
      <c r="UQS166" s="22"/>
      <c r="UQT166" s="22"/>
      <c r="UQU166" s="22"/>
      <c r="UQV166" s="22"/>
      <c r="UQW166" s="22"/>
      <c r="UQX166" s="22"/>
      <c r="UQY166" s="22"/>
      <c r="UQZ166" s="22"/>
      <c r="URA166" s="22"/>
      <c r="URB166" s="22"/>
      <c r="URC166" s="22"/>
      <c r="URD166" s="22"/>
      <c r="URE166" s="22"/>
      <c r="URF166" s="22"/>
      <c r="URG166" s="22"/>
      <c r="URH166" s="22"/>
      <c r="URI166" s="22"/>
      <c r="URJ166" s="22"/>
      <c r="URK166" s="22"/>
      <c r="URL166" s="22"/>
      <c r="URM166" s="22"/>
      <c r="URN166" s="22"/>
      <c r="URO166" s="22"/>
      <c r="URP166" s="22"/>
      <c r="URQ166" s="22"/>
      <c r="URR166" s="22"/>
      <c r="URS166" s="22"/>
      <c r="URT166" s="22"/>
      <c r="URU166" s="22"/>
      <c r="URV166" s="22"/>
      <c r="URW166" s="22"/>
      <c r="URX166" s="22"/>
      <c r="URY166" s="22"/>
      <c r="URZ166" s="22"/>
      <c r="USA166" s="22"/>
      <c r="USB166" s="22"/>
      <c r="USC166" s="22"/>
      <c r="USD166" s="22"/>
      <c r="USE166" s="22"/>
      <c r="USF166" s="22"/>
      <c r="USG166" s="22"/>
      <c r="USH166" s="22"/>
      <c r="USI166" s="22"/>
      <c r="USJ166" s="22"/>
      <c r="USK166" s="22"/>
      <c r="USL166" s="22"/>
      <c r="USM166" s="22"/>
      <c r="USN166" s="22"/>
      <c r="USO166" s="22"/>
      <c r="USP166" s="22"/>
      <c r="USQ166" s="22"/>
      <c r="USR166" s="22"/>
      <c r="USS166" s="22"/>
      <c r="UST166" s="22"/>
      <c r="USU166" s="22"/>
      <c r="USV166" s="22"/>
      <c r="USW166" s="22"/>
      <c r="USX166" s="22"/>
      <c r="USY166" s="22"/>
      <c r="USZ166" s="22"/>
      <c r="UTA166" s="22"/>
      <c r="UTB166" s="22"/>
      <c r="UTC166" s="22"/>
      <c r="UTD166" s="22"/>
      <c r="UTE166" s="22"/>
      <c r="UTF166" s="22"/>
      <c r="UTG166" s="22"/>
      <c r="UTH166" s="22"/>
      <c r="UTI166" s="22"/>
      <c r="UTJ166" s="22"/>
      <c r="UTK166" s="22"/>
      <c r="UTL166" s="22"/>
      <c r="UTM166" s="22"/>
      <c r="UTN166" s="22"/>
      <c r="UTO166" s="22"/>
      <c r="UTP166" s="22"/>
      <c r="UTQ166" s="22"/>
      <c r="UTR166" s="22"/>
      <c r="UTS166" s="22"/>
      <c r="UTT166" s="22"/>
      <c r="UTU166" s="22"/>
      <c r="UTV166" s="22"/>
      <c r="UTW166" s="22"/>
      <c r="UTX166" s="22"/>
      <c r="UTY166" s="22"/>
      <c r="UTZ166" s="22"/>
      <c r="UUA166" s="22"/>
      <c r="UUB166" s="22"/>
      <c r="UUC166" s="22"/>
      <c r="UUD166" s="22"/>
      <c r="UUE166" s="22"/>
      <c r="UUF166" s="22"/>
      <c r="UUG166" s="22"/>
      <c r="UUH166" s="22"/>
      <c r="UUI166" s="22"/>
      <c r="UUJ166" s="22"/>
      <c r="UUK166" s="22"/>
      <c r="UUL166" s="22"/>
      <c r="UUM166" s="22"/>
      <c r="UUN166" s="22"/>
      <c r="UUO166" s="22"/>
      <c r="UUP166" s="22"/>
      <c r="UUQ166" s="22"/>
      <c r="UUR166" s="22"/>
      <c r="UUS166" s="22"/>
      <c r="UUT166" s="22"/>
      <c r="UUU166" s="22"/>
      <c r="UUV166" s="22"/>
      <c r="UUW166" s="22"/>
      <c r="UUX166" s="22"/>
      <c r="UUY166" s="22"/>
      <c r="UUZ166" s="22"/>
      <c r="UVA166" s="22"/>
      <c r="UVB166" s="22"/>
      <c r="UVC166" s="22"/>
      <c r="UVD166" s="22"/>
      <c r="UVE166" s="22"/>
      <c r="UVF166" s="22"/>
      <c r="UVG166" s="22"/>
      <c r="UVH166" s="22"/>
      <c r="UVI166" s="22"/>
      <c r="UVJ166" s="22"/>
      <c r="UVK166" s="22"/>
      <c r="UVL166" s="22"/>
      <c r="UVM166" s="22"/>
      <c r="UVN166" s="22"/>
      <c r="UVO166" s="22"/>
      <c r="UVP166" s="22"/>
      <c r="UVQ166" s="22"/>
      <c r="UVR166" s="22"/>
      <c r="UVS166" s="22"/>
      <c r="UVT166" s="22"/>
      <c r="UVU166" s="22"/>
      <c r="UVV166" s="22"/>
      <c r="UVW166" s="22"/>
      <c r="UVX166" s="22"/>
      <c r="UVY166" s="22"/>
      <c r="UVZ166" s="22"/>
      <c r="UWA166" s="22"/>
      <c r="UWB166" s="22"/>
      <c r="UWC166" s="22"/>
      <c r="UWD166" s="22"/>
      <c r="UWE166" s="22"/>
      <c r="UWF166" s="22"/>
      <c r="UWG166" s="22"/>
      <c r="UWH166" s="22"/>
      <c r="UWI166" s="22"/>
      <c r="UWJ166" s="22"/>
      <c r="UWK166" s="22"/>
      <c r="UWL166" s="22"/>
      <c r="UWM166" s="22"/>
      <c r="UWN166" s="22"/>
      <c r="UWO166" s="22"/>
      <c r="UWP166" s="22"/>
      <c r="UWQ166" s="22"/>
      <c r="UWR166" s="22"/>
      <c r="UWS166" s="22"/>
      <c r="UWT166" s="22"/>
      <c r="UWU166" s="22"/>
      <c r="UWV166" s="22"/>
      <c r="UWW166" s="22"/>
      <c r="UWX166" s="22"/>
      <c r="UWY166" s="22"/>
      <c r="UWZ166" s="22"/>
      <c r="UXA166" s="22"/>
      <c r="UXB166" s="22"/>
      <c r="UXC166" s="22"/>
      <c r="UXD166" s="22"/>
      <c r="UXE166" s="22"/>
      <c r="UXF166" s="22"/>
      <c r="UXG166" s="22"/>
      <c r="UXH166" s="22"/>
      <c r="UXI166" s="22"/>
      <c r="UXJ166" s="22"/>
      <c r="UXK166" s="22"/>
      <c r="UXL166" s="22"/>
      <c r="UXM166" s="22"/>
      <c r="UXN166" s="22"/>
      <c r="UXO166" s="22"/>
      <c r="UXP166" s="22"/>
      <c r="UXQ166" s="22"/>
      <c r="UXR166" s="22"/>
      <c r="UXS166" s="22"/>
      <c r="UXT166" s="22"/>
      <c r="UXU166" s="22"/>
      <c r="UXV166" s="22"/>
      <c r="UXW166" s="22"/>
      <c r="UXX166" s="22"/>
      <c r="UXY166" s="22"/>
      <c r="UXZ166" s="22"/>
      <c r="UYA166" s="22"/>
      <c r="UYB166" s="22"/>
      <c r="UYC166" s="22"/>
      <c r="UYD166" s="22"/>
      <c r="UYE166" s="22"/>
      <c r="UYF166" s="22"/>
      <c r="UYG166" s="22"/>
      <c r="UYH166" s="22"/>
      <c r="UYI166" s="22"/>
      <c r="UYJ166" s="22"/>
      <c r="UYK166" s="22"/>
      <c r="UYL166" s="22"/>
      <c r="UYM166" s="22"/>
      <c r="UYN166" s="22"/>
      <c r="UYO166" s="22"/>
      <c r="UYP166" s="22"/>
      <c r="UYQ166" s="22"/>
      <c r="UYR166" s="22"/>
      <c r="UYS166" s="22"/>
      <c r="UYT166" s="22"/>
      <c r="UYU166" s="22"/>
      <c r="UYV166" s="22"/>
      <c r="UYW166" s="22"/>
      <c r="UYX166" s="22"/>
      <c r="UYY166" s="22"/>
      <c r="UYZ166" s="22"/>
      <c r="UZA166" s="22"/>
      <c r="UZB166" s="22"/>
      <c r="UZC166" s="22"/>
      <c r="UZD166" s="22"/>
      <c r="UZE166" s="22"/>
      <c r="UZF166" s="22"/>
      <c r="UZG166" s="22"/>
      <c r="UZH166" s="22"/>
      <c r="UZI166" s="22"/>
      <c r="UZJ166" s="22"/>
      <c r="UZK166" s="22"/>
      <c r="UZL166" s="22"/>
      <c r="UZM166" s="22"/>
      <c r="UZN166" s="22"/>
      <c r="UZO166" s="22"/>
      <c r="UZP166" s="22"/>
      <c r="UZQ166" s="22"/>
      <c r="UZR166" s="22"/>
      <c r="UZS166" s="22"/>
      <c r="UZT166" s="22"/>
      <c r="UZU166" s="22"/>
      <c r="UZV166" s="22"/>
      <c r="UZW166" s="22"/>
      <c r="UZX166" s="22"/>
      <c r="UZY166" s="22"/>
      <c r="UZZ166" s="22"/>
      <c r="VAA166" s="22"/>
      <c r="VAB166" s="22"/>
      <c r="VAC166" s="22"/>
      <c r="VAD166" s="22"/>
      <c r="VAE166" s="22"/>
      <c r="VAF166" s="22"/>
      <c r="VAG166" s="22"/>
      <c r="VAH166" s="22"/>
      <c r="VAI166" s="22"/>
      <c r="VAJ166" s="22"/>
      <c r="VAK166" s="22"/>
      <c r="VAL166" s="22"/>
      <c r="VAM166" s="22"/>
      <c r="VAN166" s="22"/>
      <c r="VAO166" s="22"/>
      <c r="VAP166" s="22"/>
      <c r="VAQ166" s="22"/>
      <c r="VAR166" s="22"/>
      <c r="VAS166" s="22"/>
      <c r="VAT166" s="22"/>
      <c r="VAU166" s="22"/>
      <c r="VAV166" s="22"/>
      <c r="VAW166" s="22"/>
      <c r="VAX166" s="22"/>
      <c r="VAY166" s="22"/>
      <c r="VAZ166" s="22"/>
      <c r="VBA166" s="22"/>
      <c r="VBB166" s="22"/>
      <c r="VBC166" s="22"/>
      <c r="VBD166" s="22"/>
      <c r="VBE166" s="22"/>
      <c r="VBF166" s="22"/>
      <c r="VBG166" s="22"/>
      <c r="VBH166" s="22"/>
      <c r="VBI166" s="22"/>
      <c r="VBJ166" s="22"/>
      <c r="VBK166" s="22"/>
      <c r="VBL166" s="22"/>
      <c r="VBM166" s="22"/>
      <c r="VBN166" s="22"/>
      <c r="VBO166" s="22"/>
      <c r="VBP166" s="22"/>
      <c r="VBQ166" s="22"/>
      <c r="VBR166" s="22"/>
      <c r="VBS166" s="22"/>
      <c r="VBT166" s="22"/>
      <c r="VBU166" s="22"/>
      <c r="VBV166" s="22"/>
      <c r="VBW166" s="22"/>
      <c r="VBX166" s="22"/>
      <c r="VBY166" s="22"/>
      <c r="VBZ166" s="22"/>
      <c r="VCA166" s="22"/>
      <c r="VCB166" s="22"/>
      <c r="VCC166" s="22"/>
      <c r="VCD166" s="22"/>
      <c r="VCE166" s="22"/>
      <c r="VCF166" s="22"/>
      <c r="VCG166" s="22"/>
      <c r="VCH166" s="22"/>
      <c r="VCI166" s="22"/>
      <c r="VCJ166" s="22"/>
      <c r="VCK166" s="22"/>
      <c r="VCL166" s="22"/>
      <c r="VCM166" s="22"/>
      <c r="VCN166" s="22"/>
      <c r="VCO166" s="22"/>
      <c r="VCP166" s="22"/>
      <c r="VCQ166" s="22"/>
      <c r="VCR166" s="22"/>
      <c r="VCS166" s="22"/>
      <c r="VCT166" s="22"/>
      <c r="VCU166" s="22"/>
      <c r="VCV166" s="22"/>
      <c r="VCW166" s="22"/>
      <c r="VCX166" s="22"/>
      <c r="VCY166" s="22"/>
      <c r="VCZ166" s="22"/>
      <c r="VDA166" s="22"/>
      <c r="VDB166" s="22"/>
      <c r="VDC166" s="22"/>
      <c r="VDD166" s="22"/>
      <c r="VDE166" s="22"/>
      <c r="VDF166" s="22"/>
      <c r="VDG166" s="22"/>
      <c r="VDH166" s="22"/>
      <c r="VDI166" s="22"/>
      <c r="VDJ166" s="22"/>
      <c r="VDK166" s="22"/>
      <c r="VDL166" s="22"/>
      <c r="VDM166" s="22"/>
      <c r="VDN166" s="22"/>
      <c r="VDO166" s="22"/>
      <c r="VDP166" s="22"/>
      <c r="VDQ166" s="22"/>
      <c r="VDR166" s="22"/>
      <c r="VDS166" s="22"/>
      <c r="VDT166" s="22"/>
      <c r="VDU166" s="22"/>
      <c r="VDV166" s="22"/>
      <c r="VDW166" s="22"/>
      <c r="VDX166" s="22"/>
      <c r="VDY166" s="22"/>
      <c r="VDZ166" s="22"/>
      <c r="VEA166" s="22"/>
      <c r="VEB166" s="22"/>
      <c r="VEC166" s="22"/>
      <c r="VED166" s="22"/>
      <c r="VEE166" s="22"/>
      <c r="VEF166" s="22"/>
      <c r="VEG166" s="22"/>
      <c r="VEH166" s="22"/>
      <c r="VEI166" s="22"/>
      <c r="VEJ166" s="22"/>
      <c r="VEK166" s="22"/>
      <c r="VEL166" s="22"/>
      <c r="VEM166" s="22"/>
      <c r="VEN166" s="22"/>
      <c r="VEO166" s="22"/>
      <c r="VEP166" s="22"/>
      <c r="VEQ166" s="22"/>
      <c r="VER166" s="22"/>
      <c r="VES166" s="22"/>
      <c r="VET166" s="22"/>
      <c r="VEU166" s="22"/>
      <c r="VEV166" s="22"/>
      <c r="VEW166" s="22"/>
      <c r="VEX166" s="22"/>
      <c r="VEY166" s="22"/>
      <c r="VEZ166" s="22"/>
      <c r="VFA166" s="22"/>
      <c r="VFB166" s="22"/>
      <c r="VFC166" s="22"/>
      <c r="VFD166" s="22"/>
      <c r="VFE166" s="22"/>
      <c r="VFF166" s="22"/>
      <c r="VFG166" s="22"/>
      <c r="VFH166" s="22"/>
      <c r="VFI166" s="22"/>
      <c r="VFJ166" s="22"/>
      <c r="VFK166" s="22"/>
      <c r="VFL166" s="22"/>
      <c r="VFM166" s="22"/>
      <c r="VFN166" s="22"/>
      <c r="VFO166" s="22"/>
      <c r="VFP166" s="22"/>
      <c r="VFQ166" s="22"/>
      <c r="VFR166" s="22"/>
      <c r="VFS166" s="22"/>
      <c r="VFT166" s="22"/>
      <c r="VFU166" s="22"/>
      <c r="VFV166" s="22"/>
      <c r="VFW166" s="22"/>
      <c r="VFX166" s="22"/>
      <c r="VFY166" s="22"/>
      <c r="VFZ166" s="22"/>
      <c r="VGA166" s="22"/>
      <c r="VGB166" s="22"/>
      <c r="VGC166" s="22"/>
      <c r="VGD166" s="22"/>
      <c r="VGE166" s="22"/>
      <c r="VGF166" s="22"/>
      <c r="VGG166" s="22"/>
      <c r="VGH166" s="22"/>
      <c r="VGI166" s="22"/>
      <c r="VGJ166" s="22"/>
      <c r="VGK166" s="22"/>
      <c r="VGL166" s="22"/>
      <c r="VGM166" s="22"/>
      <c r="VGN166" s="22"/>
      <c r="VGO166" s="22"/>
      <c r="VGP166" s="22"/>
      <c r="VGQ166" s="22"/>
      <c r="VGR166" s="22"/>
      <c r="VGS166" s="22"/>
      <c r="VGT166" s="22"/>
      <c r="VGU166" s="22"/>
      <c r="VGV166" s="22"/>
      <c r="VGW166" s="22"/>
      <c r="VGX166" s="22"/>
      <c r="VGY166" s="22"/>
      <c r="VGZ166" s="22"/>
      <c r="VHA166" s="22"/>
      <c r="VHB166" s="22"/>
      <c r="VHC166" s="22"/>
      <c r="VHD166" s="22"/>
      <c r="VHE166" s="22"/>
      <c r="VHF166" s="22"/>
      <c r="VHG166" s="22"/>
      <c r="VHH166" s="22"/>
      <c r="VHI166" s="22"/>
      <c r="VHJ166" s="22"/>
      <c r="VHK166" s="22"/>
      <c r="VHL166" s="22"/>
      <c r="VHM166" s="22"/>
      <c r="VHN166" s="22"/>
      <c r="VHO166" s="22"/>
      <c r="VHP166" s="22"/>
      <c r="VHQ166" s="22"/>
      <c r="VHR166" s="22"/>
      <c r="VHS166" s="22"/>
      <c r="VHT166" s="22"/>
      <c r="VHU166" s="22"/>
      <c r="VHV166" s="22"/>
      <c r="VHW166" s="22"/>
      <c r="VHX166" s="22"/>
      <c r="VHY166" s="22"/>
      <c r="VHZ166" s="22"/>
      <c r="VIA166" s="22"/>
      <c r="VIB166" s="22"/>
      <c r="VIC166" s="22"/>
      <c r="VID166" s="22"/>
      <c r="VIE166" s="22"/>
      <c r="VIF166" s="22"/>
      <c r="VIG166" s="22"/>
      <c r="VIH166" s="22"/>
      <c r="VII166" s="22"/>
      <c r="VIJ166" s="22"/>
      <c r="VIK166" s="22"/>
      <c r="VIL166" s="22"/>
      <c r="VIM166" s="22"/>
      <c r="VIN166" s="22"/>
      <c r="VIO166" s="22"/>
      <c r="VIP166" s="22"/>
      <c r="VIQ166" s="22"/>
      <c r="VIR166" s="22"/>
      <c r="VIS166" s="22"/>
      <c r="VIT166" s="22"/>
      <c r="VIU166" s="22"/>
      <c r="VIV166" s="22"/>
      <c r="VIW166" s="22"/>
      <c r="VIX166" s="22"/>
      <c r="VIY166" s="22"/>
      <c r="VIZ166" s="22"/>
      <c r="VJA166" s="22"/>
      <c r="VJB166" s="22"/>
      <c r="VJC166" s="22"/>
      <c r="VJD166" s="22"/>
      <c r="VJE166" s="22"/>
      <c r="VJF166" s="22"/>
      <c r="VJG166" s="22"/>
      <c r="VJH166" s="22"/>
      <c r="VJI166" s="22"/>
      <c r="VJJ166" s="22"/>
      <c r="VJK166" s="22"/>
      <c r="VJL166" s="22"/>
      <c r="VJM166" s="22"/>
      <c r="VJN166" s="22"/>
      <c r="VJO166" s="22"/>
      <c r="VJP166" s="22"/>
      <c r="VJQ166" s="22"/>
      <c r="VJR166" s="22"/>
      <c r="VJS166" s="22"/>
      <c r="VJT166" s="22"/>
      <c r="VJU166" s="22"/>
      <c r="VJV166" s="22"/>
      <c r="VJW166" s="22"/>
      <c r="VJX166" s="22"/>
      <c r="VJY166" s="22"/>
      <c r="VJZ166" s="22"/>
      <c r="VKA166" s="22"/>
      <c r="VKB166" s="22"/>
      <c r="VKC166" s="22"/>
      <c r="VKD166" s="22"/>
      <c r="VKE166" s="22"/>
      <c r="VKF166" s="22"/>
      <c r="VKG166" s="22"/>
      <c r="VKH166" s="22"/>
      <c r="VKI166" s="22"/>
      <c r="VKJ166" s="22"/>
      <c r="VKK166" s="22"/>
      <c r="VKL166" s="22"/>
      <c r="VKM166" s="22"/>
      <c r="VKN166" s="22"/>
      <c r="VKO166" s="22"/>
      <c r="VKP166" s="22"/>
      <c r="VKQ166" s="22"/>
      <c r="VKR166" s="22"/>
      <c r="VKS166" s="22"/>
      <c r="VKT166" s="22"/>
      <c r="VKU166" s="22"/>
      <c r="VKV166" s="22"/>
      <c r="VKW166" s="22"/>
      <c r="VKX166" s="22"/>
      <c r="VKY166" s="22"/>
      <c r="VKZ166" s="22"/>
      <c r="VLA166" s="22"/>
      <c r="VLB166" s="22"/>
      <c r="VLC166" s="22"/>
      <c r="VLD166" s="22"/>
      <c r="VLE166" s="22"/>
      <c r="VLF166" s="22"/>
      <c r="VLG166" s="22"/>
      <c r="VLH166" s="22"/>
      <c r="VLI166" s="22"/>
      <c r="VLJ166" s="22"/>
      <c r="VLK166" s="22"/>
      <c r="VLL166" s="22"/>
      <c r="VLM166" s="22"/>
      <c r="VLN166" s="22"/>
      <c r="VLO166" s="22"/>
      <c r="VLP166" s="22"/>
      <c r="VLQ166" s="22"/>
      <c r="VLR166" s="22"/>
      <c r="VLS166" s="22"/>
      <c r="VLT166" s="22"/>
      <c r="VLU166" s="22"/>
      <c r="VLV166" s="22"/>
      <c r="VLW166" s="22"/>
      <c r="VLX166" s="22"/>
      <c r="VLY166" s="22"/>
      <c r="VLZ166" s="22"/>
      <c r="VMA166" s="22"/>
      <c r="VMB166" s="22"/>
      <c r="VMC166" s="22"/>
      <c r="VMD166" s="22"/>
      <c r="VME166" s="22"/>
      <c r="VMF166" s="22"/>
      <c r="VMG166" s="22"/>
      <c r="VMH166" s="22"/>
      <c r="VMI166" s="22"/>
      <c r="VMJ166" s="22"/>
      <c r="VMK166" s="22"/>
      <c r="VML166" s="22"/>
      <c r="VMM166" s="22"/>
      <c r="VMN166" s="22"/>
      <c r="VMO166" s="22"/>
      <c r="VMP166" s="22"/>
      <c r="VMQ166" s="22"/>
      <c r="VMR166" s="22"/>
      <c r="VMS166" s="22"/>
      <c r="VMT166" s="22"/>
      <c r="VMU166" s="22"/>
      <c r="VMV166" s="22"/>
      <c r="VMW166" s="22"/>
      <c r="VMX166" s="22"/>
      <c r="VMY166" s="22"/>
      <c r="VMZ166" s="22"/>
      <c r="VNA166" s="22"/>
      <c r="VNB166" s="22"/>
      <c r="VNC166" s="22"/>
      <c r="VND166" s="22"/>
      <c r="VNE166" s="22"/>
      <c r="VNF166" s="22"/>
      <c r="VNG166" s="22"/>
      <c r="VNH166" s="22"/>
      <c r="VNI166" s="22"/>
      <c r="VNJ166" s="22"/>
      <c r="VNK166" s="22"/>
      <c r="VNL166" s="22"/>
      <c r="VNM166" s="22"/>
      <c r="VNN166" s="22"/>
      <c r="VNO166" s="22"/>
      <c r="VNP166" s="22"/>
      <c r="VNQ166" s="22"/>
      <c r="VNR166" s="22"/>
      <c r="VNS166" s="22"/>
      <c r="VNT166" s="22"/>
      <c r="VNU166" s="22"/>
      <c r="VNV166" s="22"/>
      <c r="VNW166" s="22"/>
      <c r="VNX166" s="22"/>
      <c r="VNY166" s="22"/>
      <c r="VNZ166" s="22"/>
      <c r="VOA166" s="22"/>
      <c r="VOB166" s="22"/>
      <c r="VOC166" s="22"/>
      <c r="VOD166" s="22"/>
      <c r="VOE166" s="22"/>
      <c r="VOF166" s="22"/>
      <c r="VOG166" s="22"/>
      <c r="VOH166" s="22"/>
      <c r="VOI166" s="22"/>
      <c r="VOJ166" s="22"/>
      <c r="VOK166" s="22"/>
      <c r="VOL166" s="22"/>
      <c r="VOM166" s="22"/>
      <c r="VON166" s="22"/>
      <c r="VOO166" s="22"/>
      <c r="VOP166" s="22"/>
      <c r="VOQ166" s="22"/>
      <c r="VOR166" s="22"/>
      <c r="VOS166" s="22"/>
      <c r="VOT166" s="22"/>
      <c r="VOU166" s="22"/>
      <c r="VOV166" s="22"/>
      <c r="VOW166" s="22"/>
      <c r="VOX166" s="22"/>
      <c r="VOY166" s="22"/>
      <c r="VOZ166" s="22"/>
      <c r="VPA166" s="22"/>
      <c r="VPB166" s="22"/>
      <c r="VPC166" s="22"/>
      <c r="VPD166" s="22"/>
      <c r="VPE166" s="22"/>
      <c r="VPF166" s="22"/>
      <c r="VPG166" s="22"/>
      <c r="VPH166" s="22"/>
      <c r="VPI166" s="22"/>
      <c r="VPJ166" s="22"/>
      <c r="VPK166" s="22"/>
      <c r="VPL166" s="22"/>
      <c r="VPM166" s="22"/>
      <c r="VPN166" s="22"/>
      <c r="VPO166" s="22"/>
      <c r="VPP166" s="22"/>
      <c r="VPQ166" s="22"/>
      <c r="VPR166" s="22"/>
      <c r="VPS166" s="22"/>
      <c r="VPT166" s="22"/>
      <c r="VPU166" s="22"/>
      <c r="VPV166" s="22"/>
      <c r="VPW166" s="22"/>
      <c r="VPX166" s="22"/>
      <c r="VPY166" s="22"/>
      <c r="VPZ166" s="22"/>
      <c r="VQA166" s="22"/>
      <c r="VQB166" s="22"/>
      <c r="VQC166" s="22"/>
      <c r="VQD166" s="22"/>
      <c r="VQE166" s="22"/>
      <c r="VQF166" s="22"/>
      <c r="VQG166" s="22"/>
      <c r="VQH166" s="22"/>
      <c r="VQI166" s="22"/>
      <c r="VQJ166" s="22"/>
      <c r="VQK166" s="22"/>
      <c r="VQL166" s="22"/>
      <c r="VQM166" s="22"/>
      <c r="VQN166" s="22"/>
      <c r="VQO166" s="22"/>
      <c r="VQP166" s="22"/>
      <c r="VQQ166" s="22"/>
      <c r="VQR166" s="22"/>
      <c r="VQS166" s="22"/>
      <c r="VQT166" s="22"/>
      <c r="VQU166" s="22"/>
      <c r="VQV166" s="22"/>
      <c r="VQW166" s="22"/>
      <c r="VQX166" s="22"/>
      <c r="VQY166" s="22"/>
      <c r="VQZ166" s="22"/>
      <c r="VRA166" s="22"/>
      <c r="VRB166" s="22"/>
      <c r="VRC166" s="22"/>
      <c r="VRD166" s="22"/>
      <c r="VRE166" s="22"/>
      <c r="VRF166" s="22"/>
      <c r="VRG166" s="22"/>
      <c r="VRH166" s="22"/>
      <c r="VRI166" s="22"/>
      <c r="VRJ166" s="22"/>
      <c r="VRK166" s="22"/>
      <c r="VRL166" s="22"/>
      <c r="VRM166" s="22"/>
      <c r="VRN166" s="22"/>
      <c r="VRO166" s="22"/>
      <c r="VRP166" s="22"/>
      <c r="VRQ166" s="22"/>
      <c r="VRR166" s="22"/>
      <c r="VRS166" s="22"/>
      <c r="VRT166" s="22"/>
      <c r="VRU166" s="22"/>
      <c r="VRV166" s="22"/>
      <c r="VRW166" s="22"/>
      <c r="VRX166" s="22"/>
      <c r="VRY166" s="22"/>
      <c r="VRZ166" s="22"/>
      <c r="VSA166" s="22"/>
      <c r="VSB166" s="22"/>
      <c r="VSC166" s="22"/>
      <c r="VSD166" s="22"/>
      <c r="VSE166" s="22"/>
      <c r="VSF166" s="22"/>
      <c r="VSG166" s="22"/>
      <c r="VSH166" s="22"/>
      <c r="VSI166" s="22"/>
      <c r="VSJ166" s="22"/>
      <c r="VSK166" s="22"/>
      <c r="VSL166" s="22"/>
      <c r="VSM166" s="22"/>
      <c r="VSN166" s="22"/>
      <c r="VSO166" s="22"/>
      <c r="VSP166" s="22"/>
      <c r="VSQ166" s="22"/>
      <c r="VSR166" s="22"/>
      <c r="VSS166" s="22"/>
      <c r="VST166" s="22"/>
      <c r="VSU166" s="22"/>
      <c r="VSV166" s="22"/>
      <c r="VSW166" s="22"/>
      <c r="VSX166" s="22"/>
      <c r="VSY166" s="22"/>
      <c r="VSZ166" s="22"/>
      <c r="VTA166" s="22"/>
      <c r="VTB166" s="22"/>
      <c r="VTC166" s="22"/>
      <c r="VTD166" s="22"/>
      <c r="VTE166" s="22"/>
      <c r="VTF166" s="22"/>
      <c r="VTG166" s="22"/>
      <c r="VTH166" s="22"/>
      <c r="VTI166" s="22"/>
      <c r="VTJ166" s="22"/>
      <c r="VTK166" s="22"/>
      <c r="VTL166" s="22"/>
      <c r="VTM166" s="22"/>
      <c r="VTN166" s="22"/>
      <c r="VTO166" s="22"/>
      <c r="VTP166" s="22"/>
      <c r="VTQ166" s="22"/>
      <c r="VTR166" s="22"/>
      <c r="VTS166" s="22"/>
      <c r="VTT166" s="22"/>
      <c r="VTU166" s="22"/>
      <c r="VTV166" s="22"/>
      <c r="VTW166" s="22"/>
      <c r="VTX166" s="22"/>
      <c r="VTY166" s="22"/>
      <c r="VTZ166" s="22"/>
      <c r="VUA166" s="22"/>
      <c r="VUB166" s="22"/>
      <c r="VUC166" s="22"/>
      <c r="VUD166" s="22"/>
      <c r="VUE166" s="22"/>
      <c r="VUF166" s="22"/>
      <c r="VUG166" s="22"/>
      <c r="VUH166" s="22"/>
      <c r="VUI166" s="22"/>
      <c r="VUJ166" s="22"/>
      <c r="VUK166" s="22"/>
      <c r="VUL166" s="22"/>
      <c r="VUM166" s="22"/>
      <c r="VUN166" s="22"/>
      <c r="VUO166" s="22"/>
      <c r="VUP166" s="22"/>
      <c r="VUQ166" s="22"/>
      <c r="VUR166" s="22"/>
      <c r="VUS166" s="22"/>
      <c r="VUT166" s="22"/>
      <c r="VUU166" s="22"/>
      <c r="VUV166" s="22"/>
      <c r="VUW166" s="22"/>
      <c r="VUX166" s="22"/>
      <c r="VUY166" s="22"/>
      <c r="VUZ166" s="22"/>
      <c r="VVA166" s="22"/>
      <c r="VVB166" s="22"/>
      <c r="VVC166" s="22"/>
      <c r="VVD166" s="22"/>
      <c r="VVE166" s="22"/>
      <c r="VVF166" s="22"/>
      <c r="VVG166" s="22"/>
      <c r="VVH166" s="22"/>
      <c r="VVI166" s="22"/>
      <c r="VVJ166" s="22"/>
      <c r="VVK166" s="22"/>
      <c r="VVL166" s="22"/>
      <c r="VVM166" s="22"/>
      <c r="VVN166" s="22"/>
      <c r="VVO166" s="22"/>
      <c r="VVP166" s="22"/>
      <c r="VVQ166" s="22"/>
      <c r="VVR166" s="22"/>
      <c r="VVS166" s="22"/>
      <c r="VVT166" s="22"/>
      <c r="VVU166" s="22"/>
      <c r="VVV166" s="22"/>
      <c r="VVW166" s="22"/>
      <c r="VVX166" s="22"/>
      <c r="VVY166" s="22"/>
      <c r="VVZ166" s="22"/>
      <c r="VWA166" s="22"/>
      <c r="VWB166" s="22"/>
      <c r="VWC166" s="22"/>
      <c r="VWD166" s="22"/>
      <c r="VWE166" s="22"/>
      <c r="VWF166" s="22"/>
      <c r="VWG166" s="22"/>
      <c r="VWH166" s="22"/>
      <c r="VWI166" s="22"/>
      <c r="VWJ166" s="22"/>
      <c r="VWK166" s="22"/>
      <c r="VWL166" s="22"/>
      <c r="VWM166" s="22"/>
      <c r="VWN166" s="22"/>
      <c r="VWO166" s="22"/>
      <c r="VWP166" s="22"/>
      <c r="VWQ166" s="22"/>
      <c r="VWR166" s="22"/>
      <c r="VWS166" s="22"/>
      <c r="VWT166" s="22"/>
      <c r="VWU166" s="22"/>
      <c r="VWV166" s="22"/>
      <c r="VWW166" s="22"/>
      <c r="VWX166" s="22"/>
      <c r="VWY166" s="22"/>
      <c r="VWZ166" s="22"/>
      <c r="VXA166" s="22"/>
      <c r="VXB166" s="22"/>
      <c r="VXC166" s="22"/>
      <c r="VXD166" s="22"/>
      <c r="VXE166" s="22"/>
      <c r="VXF166" s="22"/>
      <c r="VXG166" s="22"/>
      <c r="VXH166" s="22"/>
      <c r="VXI166" s="22"/>
      <c r="VXJ166" s="22"/>
      <c r="VXK166" s="22"/>
      <c r="VXL166" s="22"/>
      <c r="VXM166" s="22"/>
      <c r="VXN166" s="22"/>
      <c r="VXO166" s="22"/>
      <c r="VXP166" s="22"/>
      <c r="VXQ166" s="22"/>
      <c r="VXR166" s="22"/>
      <c r="VXS166" s="22"/>
      <c r="VXT166" s="22"/>
      <c r="VXU166" s="22"/>
      <c r="VXV166" s="22"/>
      <c r="VXW166" s="22"/>
      <c r="VXX166" s="22"/>
      <c r="VXY166" s="22"/>
      <c r="VXZ166" s="22"/>
      <c r="VYA166" s="22"/>
      <c r="VYB166" s="22"/>
      <c r="VYC166" s="22"/>
      <c r="VYD166" s="22"/>
      <c r="VYE166" s="22"/>
      <c r="VYF166" s="22"/>
      <c r="VYG166" s="22"/>
      <c r="VYH166" s="22"/>
      <c r="VYI166" s="22"/>
      <c r="VYJ166" s="22"/>
      <c r="VYK166" s="22"/>
      <c r="VYL166" s="22"/>
      <c r="VYM166" s="22"/>
      <c r="VYN166" s="22"/>
      <c r="VYO166" s="22"/>
      <c r="VYP166" s="22"/>
      <c r="VYQ166" s="22"/>
      <c r="VYR166" s="22"/>
      <c r="VYS166" s="22"/>
      <c r="VYT166" s="22"/>
      <c r="VYU166" s="22"/>
      <c r="VYV166" s="22"/>
      <c r="VYW166" s="22"/>
      <c r="VYX166" s="22"/>
      <c r="VYY166" s="22"/>
      <c r="VYZ166" s="22"/>
      <c r="VZA166" s="22"/>
      <c r="VZB166" s="22"/>
      <c r="VZC166" s="22"/>
      <c r="VZD166" s="22"/>
      <c r="VZE166" s="22"/>
      <c r="VZF166" s="22"/>
      <c r="VZG166" s="22"/>
      <c r="VZH166" s="22"/>
      <c r="VZI166" s="22"/>
      <c r="VZJ166" s="22"/>
      <c r="VZK166" s="22"/>
      <c r="VZL166" s="22"/>
      <c r="VZM166" s="22"/>
      <c r="VZN166" s="22"/>
      <c r="VZO166" s="22"/>
      <c r="VZP166" s="22"/>
      <c r="VZQ166" s="22"/>
      <c r="VZR166" s="22"/>
      <c r="VZS166" s="22"/>
      <c r="VZT166" s="22"/>
      <c r="VZU166" s="22"/>
      <c r="VZV166" s="22"/>
      <c r="VZW166" s="22"/>
      <c r="VZX166" s="22"/>
      <c r="VZY166" s="22"/>
      <c r="VZZ166" s="22"/>
      <c r="WAA166" s="22"/>
      <c r="WAB166" s="22"/>
      <c r="WAC166" s="22"/>
      <c r="WAD166" s="22"/>
      <c r="WAE166" s="22"/>
      <c r="WAF166" s="22"/>
      <c r="WAG166" s="22"/>
      <c r="WAH166" s="22"/>
      <c r="WAI166" s="22"/>
      <c r="WAJ166" s="22"/>
      <c r="WAK166" s="22"/>
      <c r="WAL166" s="22"/>
      <c r="WAM166" s="22"/>
      <c r="WAN166" s="22"/>
      <c r="WAO166" s="22"/>
      <c r="WAP166" s="22"/>
      <c r="WAQ166" s="22"/>
      <c r="WAR166" s="22"/>
      <c r="WAS166" s="22"/>
      <c r="WAT166" s="22"/>
      <c r="WAU166" s="22"/>
      <c r="WAV166" s="22"/>
      <c r="WAW166" s="22"/>
      <c r="WAX166" s="22"/>
      <c r="WAY166" s="22"/>
      <c r="WAZ166" s="22"/>
      <c r="WBA166" s="22"/>
      <c r="WBB166" s="22"/>
      <c r="WBC166" s="22"/>
      <c r="WBD166" s="22"/>
      <c r="WBE166" s="22"/>
      <c r="WBF166" s="22"/>
      <c r="WBG166" s="22"/>
      <c r="WBH166" s="22"/>
      <c r="WBI166" s="22"/>
      <c r="WBJ166" s="22"/>
      <c r="WBK166" s="22"/>
      <c r="WBL166" s="22"/>
      <c r="WBM166" s="22"/>
      <c r="WBN166" s="22"/>
      <c r="WBO166" s="22"/>
      <c r="WBP166" s="22"/>
      <c r="WBQ166" s="22"/>
      <c r="WBR166" s="22"/>
      <c r="WBS166" s="22"/>
      <c r="WBT166" s="22"/>
      <c r="WBU166" s="22"/>
      <c r="WBV166" s="22"/>
      <c r="WBW166" s="22"/>
      <c r="WBX166" s="22"/>
      <c r="WBY166" s="22"/>
      <c r="WBZ166" s="22"/>
      <c r="WCA166" s="22"/>
      <c r="WCB166" s="22"/>
      <c r="WCC166" s="22"/>
      <c r="WCD166" s="22"/>
      <c r="WCE166" s="22"/>
      <c r="WCF166" s="22"/>
      <c r="WCG166" s="22"/>
      <c r="WCH166" s="22"/>
      <c r="WCI166" s="22"/>
      <c r="WCJ166" s="22"/>
      <c r="WCK166" s="22"/>
      <c r="WCL166" s="22"/>
      <c r="WCM166" s="22"/>
      <c r="WCN166" s="22"/>
      <c r="WCO166" s="22"/>
      <c r="WCP166" s="22"/>
      <c r="WCQ166" s="22"/>
      <c r="WCR166" s="22"/>
      <c r="WCS166" s="22"/>
      <c r="WCT166" s="22"/>
      <c r="WCU166" s="22"/>
      <c r="WCV166" s="22"/>
      <c r="WCW166" s="22"/>
      <c r="WCX166" s="22"/>
      <c r="WCY166" s="22"/>
      <c r="WCZ166" s="22"/>
      <c r="WDA166" s="22"/>
      <c r="WDB166" s="22"/>
      <c r="WDC166" s="22"/>
      <c r="WDD166" s="22"/>
      <c r="WDE166" s="22"/>
      <c r="WDF166" s="22"/>
      <c r="WDG166" s="22"/>
      <c r="WDH166" s="22"/>
      <c r="WDI166" s="22"/>
      <c r="WDJ166" s="22"/>
      <c r="WDK166" s="22"/>
      <c r="WDL166" s="22"/>
      <c r="WDM166" s="22"/>
      <c r="WDN166" s="22"/>
      <c r="WDO166" s="22"/>
      <c r="WDP166" s="22"/>
      <c r="WDQ166" s="22"/>
      <c r="WDR166" s="22"/>
      <c r="WDS166" s="22"/>
      <c r="WDT166" s="22"/>
      <c r="WDU166" s="22"/>
      <c r="WDV166" s="22"/>
      <c r="WDW166" s="22"/>
      <c r="WDX166" s="22"/>
      <c r="WDY166" s="22"/>
      <c r="WDZ166" s="22"/>
      <c r="WEA166" s="22"/>
      <c r="WEB166" s="22"/>
      <c r="WEC166" s="22"/>
      <c r="WED166" s="22"/>
      <c r="WEE166" s="22"/>
      <c r="WEF166" s="22"/>
      <c r="WEG166" s="22"/>
      <c r="WEH166" s="22"/>
      <c r="WEI166" s="22"/>
      <c r="WEJ166" s="22"/>
      <c r="WEK166" s="22"/>
      <c r="WEL166" s="22"/>
      <c r="WEM166" s="22"/>
      <c r="WEN166" s="22"/>
      <c r="WEO166" s="22"/>
      <c r="WEP166" s="22"/>
      <c r="WEQ166" s="22"/>
      <c r="WER166" s="22"/>
      <c r="WES166" s="22"/>
      <c r="WET166" s="22"/>
      <c r="WEU166" s="22"/>
      <c r="WEV166" s="22"/>
      <c r="WEW166" s="22"/>
      <c r="WEX166" s="22"/>
      <c r="WEY166" s="22"/>
      <c r="WEZ166" s="22"/>
      <c r="WFA166" s="22"/>
      <c r="WFB166" s="22"/>
      <c r="WFC166" s="22"/>
      <c r="WFD166" s="22"/>
      <c r="WFE166" s="22"/>
      <c r="WFF166" s="22"/>
      <c r="WFG166" s="22"/>
      <c r="WFH166" s="22"/>
      <c r="WFI166" s="22"/>
      <c r="WFJ166" s="22"/>
      <c r="WFK166" s="22"/>
      <c r="WFL166" s="22"/>
      <c r="WFM166" s="22"/>
      <c r="WFN166" s="22"/>
      <c r="WFO166" s="22"/>
      <c r="WFP166" s="22"/>
      <c r="WFQ166" s="22"/>
      <c r="WFR166" s="22"/>
      <c r="WFS166" s="22"/>
      <c r="WFT166" s="22"/>
      <c r="WFU166" s="22"/>
      <c r="WFV166" s="22"/>
      <c r="WFW166" s="22"/>
      <c r="WFX166" s="22"/>
      <c r="WFY166" s="22"/>
      <c r="WFZ166" s="22"/>
      <c r="WGA166" s="22"/>
      <c r="WGB166" s="22"/>
      <c r="WGC166" s="22"/>
      <c r="WGD166" s="22"/>
      <c r="WGE166" s="22"/>
      <c r="WGF166" s="22"/>
      <c r="WGG166" s="22"/>
      <c r="WGH166" s="22"/>
      <c r="WGI166" s="22"/>
      <c r="WGJ166" s="22"/>
      <c r="WGK166" s="22"/>
      <c r="WGL166" s="22"/>
      <c r="WGM166" s="22"/>
      <c r="WGN166" s="22"/>
      <c r="WGO166" s="22"/>
      <c r="WGP166" s="22"/>
      <c r="WGQ166" s="22"/>
      <c r="WGR166" s="22"/>
      <c r="WGS166" s="22"/>
      <c r="WGT166" s="22"/>
      <c r="WGU166" s="22"/>
      <c r="WGV166" s="22"/>
      <c r="WGW166" s="22"/>
      <c r="WGX166" s="22"/>
      <c r="WGY166" s="22"/>
      <c r="WGZ166" s="22"/>
      <c r="WHA166" s="22"/>
      <c r="WHB166" s="22"/>
      <c r="WHC166" s="22"/>
      <c r="WHD166" s="22"/>
      <c r="WHE166" s="22"/>
      <c r="WHF166" s="22"/>
      <c r="WHG166" s="22"/>
      <c r="WHH166" s="22"/>
      <c r="WHI166" s="22"/>
      <c r="WHJ166" s="22"/>
      <c r="WHK166" s="22"/>
      <c r="WHL166" s="22"/>
      <c r="WHM166" s="22"/>
      <c r="WHN166" s="22"/>
      <c r="WHO166" s="22"/>
      <c r="WHP166" s="22"/>
      <c r="WHQ166" s="22"/>
      <c r="WHR166" s="22"/>
      <c r="WHS166" s="22"/>
      <c r="WHT166" s="22"/>
      <c r="WHU166" s="22"/>
      <c r="WHV166" s="22"/>
      <c r="WHW166" s="22"/>
      <c r="WHX166" s="22"/>
      <c r="WHY166" s="22"/>
      <c r="WHZ166" s="22"/>
      <c r="WIA166" s="22"/>
      <c r="WIB166" s="22"/>
      <c r="WIC166" s="22"/>
      <c r="WID166" s="22"/>
      <c r="WIE166" s="22"/>
      <c r="WIF166" s="22"/>
      <c r="WIG166" s="22"/>
      <c r="WIH166" s="22"/>
      <c r="WII166" s="22"/>
      <c r="WIJ166" s="22"/>
      <c r="WIK166" s="22"/>
      <c r="WIL166" s="22"/>
      <c r="WIM166" s="22"/>
      <c r="WIN166" s="22"/>
      <c r="WIO166" s="22"/>
      <c r="WIP166" s="22"/>
      <c r="WIQ166" s="22"/>
      <c r="WIR166" s="22"/>
      <c r="WIS166" s="22"/>
      <c r="WIT166" s="22"/>
      <c r="WIU166" s="22"/>
      <c r="WIV166" s="22"/>
      <c r="WIW166" s="22"/>
      <c r="WIX166" s="22"/>
      <c r="WIY166" s="22"/>
      <c r="WIZ166" s="22"/>
      <c r="WJA166" s="22"/>
      <c r="WJB166" s="22"/>
      <c r="WJC166" s="22"/>
      <c r="WJD166" s="22"/>
      <c r="WJE166" s="22"/>
      <c r="WJF166" s="22"/>
      <c r="WJG166" s="22"/>
      <c r="WJH166" s="22"/>
      <c r="WJI166" s="22"/>
      <c r="WJJ166" s="22"/>
      <c r="WJK166" s="22"/>
      <c r="WJL166" s="22"/>
      <c r="WJM166" s="22"/>
      <c r="WJN166" s="22"/>
      <c r="WJO166" s="22"/>
      <c r="WJP166" s="22"/>
      <c r="WJQ166" s="22"/>
      <c r="WJR166" s="22"/>
      <c r="WJS166" s="22"/>
      <c r="WJT166" s="22"/>
      <c r="WJU166" s="22"/>
      <c r="WJV166" s="22"/>
      <c r="WJW166" s="22"/>
      <c r="WJX166" s="22"/>
      <c r="WJY166" s="22"/>
      <c r="WJZ166" s="22"/>
      <c r="WKA166" s="22"/>
      <c r="WKB166" s="22"/>
      <c r="WKC166" s="22"/>
      <c r="WKD166" s="22"/>
      <c r="WKE166" s="22"/>
      <c r="WKF166" s="22"/>
      <c r="WKG166" s="22"/>
      <c r="WKH166" s="22"/>
      <c r="WKI166" s="22"/>
      <c r="WKJ166" s="22"/>
      <c r="WKK166" s="22"/>
      <c r="WKL166" s="22"/>
      <c r="WKM166" s="22"/>
      <c r="WKN166" s="22"/>
      <c r="WKO166" s="22"/>
      <c r="WKP166" s="22"/>
      <c r="WKQ166" s="22"/>
      <c r="WKR166" s="22"/>
      <c r="WKS166" s="22"/>
      <c r="WKT166" s="22"/>
      <c r="WKU166" s="22"/>
      <c r="WKV166" s="22"/>
      <c r="WKW166" s="22"/>
      <c r="WKX166" s="22"/>
      <c r="WKY166" s="22"/>
      <c r="WKZ166" s="22"/>
      <c r="WLA166" s="22"/>
      <c r="WLB166" s="22"/>
      <c r="WLC166" s="22"/>
      <c r="WLD166" s="22"/>
      <c r="WLE166" s="22"/>
      <c r="WLF166" s="22"/>
      <c r="WLG166" s="22"/>
      <c r="WLH166" s="22"/>
      <c r="WLI166" s="22"/>
      <c r="WLJ166" s="22"/>
      <c r="WLK166" s="22"/>
      <c r="WLL166" s="22"/>
      <c r="WLM166" s="22"/>
      <c r="WLN166" s="22"/>
      <c r="WLO166" s="22"/>
      <c r="WLP166" s="22"/>
      <c r="WLQ166" s="22"/>
      <c r="WLR166" s="22"/>
      <c r="WLS166" s="22"/>
      <c r="WLT166" s="22"/>
      <c r="WLU166" s="22"/>
      <c r="WLV166" s="22"/>
      <c r="WLW166" s="22"/>
      <c r="WLX166" s="22"/>
      <c r="WLY166" s="22"/>
      <c r="WLZ166" s="22"/>
      <c r="WMA166" s="22"/>
      <c r="WMB166" s="22"/>
      <c r="WMC166" s="22"/>
      <c r="WMD166" s="22"/>
      <c r="WME166" s="22"/>
      <c r="WMF166" s="22"/>
      <c r="WMG166" s="22"/>
      <c r="WMH166" s="22"/>
      <c r="WMI166" s="22"/>
      <c r="WMJ166" s="22"/>
      <c r="WMK166" s="22"/>
      <c r="WML166" s="22"/>
      <c r="WMM166" s="22"/>
      <c r="WMN166" s="22"/>
      <c r="WMO166" s="22"/>
      <c r="WMP166" s="22"/>
      <c r="WMQ166" s="22"/>
      <c r="WMR166" s="22"/>
      <c r="WMS166" s="22"/>
      <c r="WMT166" s="22"/>
      <c r="WMU166" s="22"/>
      <c r="WMV166" s="22"/>
      <c r="WMW166" s="22"/>
      <c r="WMX166" s="22"/>
      <c r="WMY166" s="22"/>
      <c r="WMZ166" s="22"/>
      <c r="WNA166" s="22"/>
      <c r="WNB166" s="22"/>
      <c r="WNC166" s="22"/>
      <c r="WND166" s="22"/>
      <c r="WNE166" s="22"/>
      <c r="WNF166" s="22"/>
      <c r="WNG166" s="22"/>
      <c r="WNH166" s="22"/>
      <c r="WNI166" s="22"/>
      <c r="WNJ166" s="22"/>
      <c r="WNK166" s="22"/>
      <c r="WNL166" s="22"/>
      <c r="WNM166" s="22"/>
      <c r="WNN166" s="22"/>
      <c r="WNO166" s="22"/>
      <c r="WNP166" s="22"/>
      <c r="WNQ166" s="22"/>
      <c r="WNR166" s="22"/>
      <c r="WNS166" s="22"/>
      <c r="WNT166" s="22"/>
      <c r="WNU166" s="22"/>
      <c r="WNV166" s="22"/>
      <c r="WNW166" s="22"/>
      <c r="WNX166" s="22"/>
      <c r="WNY166" s="22"/>
      <c r="WNZ166" s="22"/>
      <c r="WOA166" s="22"/>
      <c r="WOB166" s="22"/>
      <c r="WOC166" s="22"/>
      <c r="WOD166" s="22"/>
      <c r="WOE166" s="22"/>
      <c r="WOF166" s="22"/>
      <c r="WOG166" s="22"/>
      <c r="WOH166" s="22"/>
      <c r="WOI166" s="22"/>
      <c r="WOJ166" s="22"/>
      <c r="WOK166" s="22"/>
      <c r="WOL166" s="22"/>
      <c r="WOM166" s="22"/>
      <c r="WON166" s="22"/>
      <c r="WOO166" s="22"/>
      <c r="WOP166" s="22"/>
      <c r="WOQ166" s="22"/>
      <c r="WOR166" s="22"/>
      <c r="WOS166" s="22"/>
      <c r="WOT166" s="22"/>
      <c r="WOU166" s="22"/>
      <c r="WOV166" s="22"/>
      <c r="WOW166" s="22"/>
      <c r="WOX166" s="22"/>
      <c r="WOY166" s="22"/>
      <c r="WOZ166" s="22"/>
      <c r="WPA166" s="22"/>
      <c r="WPB166" s="22"/>
      <c r="WPC166" s="22"/>
      <c r="WPD166" s="22"/>
      <c r="WPE166" s="22"/>
      <c r="WPF166" s="22"/>
      <c r="WPG166" s="22"/>
      <c r="WPH166" s="22"/>
      <c r="WPI166" s="22"/>
      <c r="WPJ166" s="22"/>
      <c r="WPK166" s="22"/>
      <c r="WPL166" s="22"/>
      <c r="WPM166" s="22"/>
      <c r="WPN166" s="22"/>
      <c r="WPO166" s="22"/>
      <c r="WPP166" s="22"/>
      <c r="WPQ166" s="22"/>
      <c r="WPR166" s="22"/>
      <c r="WPS166" s="22"/>
      <c r="WPT166" s="22"/>
      <c r="WPU166" s="22"/>
      <c r="WPV166" s="22"/>
      <c r="WPW166" s="22"/>
      <c r="WPX166" s="22"/>
      <c r="WPY166" s="22"/>
      <c r="WPZ166" s="22"/>
      <c r="WQA166" s="22"/>
      <c r="WQB166" s="22"/>
      <c r="WQC166" s="22"/>
      <c r="WQD166" s="22"/>
      <c r="WQE166" s="22"/>
      <c r="WQF166" s="22"/>
      <c r="WQG166" s="22"/>
      <c r="WQH166" s="22"/>
      <c r="WQI166" s="22"/>
      <c r="WQJ166" s="22"/>
      <c r="WQK166" s="22"/>
      <c r="WQL166" s="22"/>
      <c r="WQM166" s="22"/>
      <c r="WQN166" s="22"/>
      <c r="WQO166" s="22"/>
      <c r="WQP166" s="22"/>
      <c r="WQQ166" s="22"/>
      <c r="WQR166" s="22"/>
      <c r="WQS166" s="22"/>
      <c r="WQT166" s="22"/>
      <c r="WQU166" s="22"/>
      <c r="WQV166" s="22"/>
      <c r="WQW166" s="22"/>
      <c r="WQX166" s="22"/>
      <c r="WQY166" s="22"/>
      <c r="WQZ166" s="22"/>
      <c r="WRA166" s="22"/>
      <c r="WRB166" s="22"/>
      <c r="WRC166" s="22"/>
      <c r="WRD166" s="22"/>
      <c r="WRE166" s="22"/>
      <c r="WRF166" s="22"/>
      <c r="WRG166" s="22"/>
      <c r="WRH166" s="22"/>
      <c r="WRI166" s="22"/>
      <c r="WRJ166" s="22"/>
      <c r="WRK166" s="22"/>
      <c r="WRL166" s="22"/>
      <c r="WRM166" s="22"/>
      <c r="WRN166" s="22"/>
      <c r="WRO166" s="22"/>
      <c r="WRP166" s="22"/>
      <c r="WRQ166" s="22"/>
      <c r="WRR166" s="22"/>
      <c r="WRS166" s="22"/>
      <c r="WRT166" s="22"/>
      <c r="WRU166" s="22"/>
      <c r="WRV166" s="22"/>
      <c r="WRW166" s="22"/>
      <c r="WRX166" s="22"/>
      <c r="WRY166" s="22"/>
      <c r="WRZ166" s="22"/>
      <c r="WSA166" s="22"/>
      <c r="WSB166" s="22"/>
      <c r="WSC166" s="22"/>
      <c r="WSD166" s="22"/>
      <c r="WSE166" s="22"/>
      <c r="WSF166" s="22"/>
      <c r="WSG166" s="22"/>
      <c r="WSH166" s="22"/>
      <c r="WSI166" s="22"/>
      <c r="WSJ166" s="22"/>
      <c r="WSK166" s="22"/>
      <c r="WSL166" s="22"/>
      <c r="WSM166" s="22"/>
      <c r="WSN166" s="22"/>
      <c r="WSO166" s="22"/>
      <c r="WSP166" s="22"/>
      <c r="WSQ166" s="22"/>
      <c r="WSR166" s="22"/>
      <c r="WSS166" s="22"/>
      <c r="WST166" s="22"/>
      <c r="WSU166" s="22"/>
      <c r="WSV166" s="22"/>
      <c r="WSW166" s="22"/>
      <c r="WSX166" s="22"/>
      <c r="WSY166" s="22"/>
      <c r="WSZ166" s="22"/>
      <c r="WTA166" s="22"/>
      <c r="WTB166" s="22"/>
      <c r="WTC166" s="22"/>
      <c r="WTD166" s="22"/>
      <c r="WTE166" s="22"/>
      <c r="WTF166" s="22"/>
      <c r="WTG166" s="22"/>
      <c r="WTH166" s="22"/>
      <c r="WTI166" s="22"/>
      <c r="WTJ166" s="22"/>
      <c r="WTK166" s="22"/>
      <c r="WTL166" s="22"/>
      <c r="WTM166" s="22"/>
      <c r="WTN166" s="22"/>
      <c r="WTO166" s="22"/>
      <c r="WTP166" s="22"/>
      <c r="WTQ166" s="22"/>
      <c r="WTR166" s="22"/>
      <c r="WTS166" s="22"/>
      <c r="WTT166" s="22"/>
      <c r="WTU166" s="22"/>
      <c r="WTV166" s="22"/>
      <c r="WTW166" s="22"/>
      <c r="WTX166" s="22"/>
      <c r="WTY166" s="22"/>
      <c r="WTZ166" s="22"/>
      <c r="WUA166" s="22"/>
      <c r="WUB166" s="22"/>
      <c r="WUC166" s="22"/>
      <c r="WUD166" s="22"/>
      <c r="WUE166" s="22"/>
      <c r="WUF166" s="22"/>
      <c r="WUG166" s="22"/>
      <c r="WUH166" s="22"/>
      <c r="WUI166" s="22"/>
      <c r="WUJ166" s="22"/>
      <c r="WUK166" s="22"/>
      <c r="WUL166" s="22"/>
      <c r="WUM166" s="22"/>
      <c r="WUN166" s="22"/>
      <c r="WUO166" s="22"/>
      <c r="WUP166" s="22"/>
      <c r="WUQ166" s="22"/>
      <c r="WUR166" s="22"/>
      <c r="WUS166" s="22"/>
      <c r="WUT166" s="22"/>
      <c r="WUU166" s="22"/>
      <c r="WUV166" s="22"/>
      <c r="WUW166" s="22"/>
      <c r="WUX166" s="22"/>
      <c r="WUY166" s="22"/>
      <c r="WUZ166" s="22"/>
      <c r="WVA166" s="22"/>
      <c r="WVB166" s="22"/>
      <c r="WVC166" s="22"/>
      <c r="WVD166" s="22"/>
      <c r="WVE166" s="22"/>
      <c r="WVF166" s="22"/>
      <c r="WVG166" s="22"/>
      <c r="WVH166" s="22"/>
      <c r="WVI166" s="22"/>
      <c r="WVJ166" s="22"/>
      <c r="WVK166" s="22"/>
      <c r="WVL166" s="22"/>
      <c r="WVM166" s="22"/>
      <c r="WVN166" s="22"/>
      <c r="WVO166" s="22"/>
      <c r="WVP166" s="22"/>
      <c r="WVQ166" s="22"/>
      <c r="WVR166" s="22"/>
      <c r="WVS166" s="22"/>
      <c r="WVT166" s="22"/>
      <c r="WVU166" s="22"/>
      <c r="WVV166" s="22"/>
      <c r="WVW166" s="22"/>
      <c r="WVX166" s="22"/>
      <c r="WVY166" s="22"/>
      <c r="WVZ166" s="22"/>
      <c r="WWA166" s="22"/>
      <c r="WWB166" s="22"/>
      <c r="WWC166" s="22"/>
      <c r="WWD166" s="22"/>
      <c r="WWE166" s="22"/>
      <c r="WWF166" s="22"/>
      <c r="WWG166" s="22"/>
      <c r="WWH166" s="22"/>
      <c r="WWI166" s="22"/>
      <c r="WWJ166" s="22"/>
      <c r="WWK166" s="22"/>
      <c r="WWL166" s="22"/>
      <c r="WWM166" s="22"/>
      <c r="WWN166" s="22"/>
      <c r="WWO166" s="22"/>
      <c r="WWP166" s="22"/>
      <c r="WWQ166" s="22"/>
      <c r="WWR166" s="22"/>
      <c r="WWS166" s="22"/>
      <c r="WWT166" s="22"/>
      <c r="WWU166" s="22"/>
      <c r="WWV166" s="22"/>
      <c r="WWW166" s="22"/>
      <c r="WWX166" s="22"/>
      <c r="WWY166" s="22"/>
      <c r="WWZ166" s="22"/>
      <c r="WXA166" s="22"/>
      <c r="WXB166" s="22"/>
      <c r="WXC166" s="22"/>
      <c r="WXD166" s="22"/>
      <c r="WXE166" s="22"/>
      <c r="WXF166" s="22"/>
      <c r="WXG166" s="22"/>
      <c r="WXH166" s="22"/>
      <c r="WXI166" s="22"/>
      <c r="WXJ166" s="22"/>
      <c r="WXK166" s="22"/>
      <c r="WXL166" s="22"/>
      <c r="WXM166" s="22"/>
      <c r="WXN166" s="22"/>
      <c r="WXO166" s="22"/>
      <c r="WXP166" s="22"/>
      <c r="WXQ166" s="22"/>
      <c r="WXR166" s="22"/>
      <c r="WXS166" s="22"/>
      <c r="WXT166" s="22"/>
      <c r="WXU166" s="22"/>
      <c r="WXV166" s="22"/>
      <c r="WXW166" s="22"/>
      <c r="WXX166" s="22"/>
      <c r="WXY166" s="22"/>
      <c r="WXZ166" s="22"/>
      <c r="WYA166" s="22"/>
      <c r="WYB166" s="22"/>
      <c r="WYC166" s="22"/>
      <c r="WYD166" s="22"/>
      <c r="WYE166" s="22"/>
      <c r="WYF166" s="22"/>
      <c r="WYG166" s="22"/>
      <c r="WYH166" s="22"/>
      <c r="WYI166" s="22"/>
      <c r="WYJ166" s="22"/>
      <c r="WYK166" s="22"/>
      <c r="WYL166" s="22"/>
      <c r="WYM166" s="22"/>
      <c r="WYN166" s="22"/>
      <c r="WYO166" s="22"/>
      <c r="WYP166" s="22"/>
      <c r="WYQ166" s="22"/>
      <c r="WYR166" s="22"/>
      <c r="WYS166" s="22"/>
      <c r="WYT166" s="22"/>
      <c r="WYU166" s="22"/>
      <c r="WYV166" s="22"/>
      <c r="WYW166" s="22"/>
      <c r="WYX166" s="22"/>
      <c r="WYY166" s="22"/>
      <c r="WYZ166" s="22"/>
      <c r="WZA166" s="22"/>
      <c r="WZB166" s="22"/>
      <c r="WZC166" s="22"/>
      <c r="WZD166" s="22"/>
      <c r="WZE166" s="22"/>
      <c r="WZF166" s="22"/>
      <c r="WZG166" s="22"/>
      <c r="WZH166" s="22"/>
      <c r="WZI166" s="22"/>
      <c r="WZJ166" s="22"/>
      <c r="WZK166" s="22"/>
      <c r="WZL166" s="22"/>
      <c r="WZM166" s="22"/>
      <c r="WZN166" s="22"/>
      <c r="WZO166" s="22"/>
      <c r="WZP166" s="22"/>
      <c r="WZQ166" s="22"/>
      <c r="WZR166" s="22"/>
      <c r="WZS166" s="22"/>
      <c r="WZT166" s="22"/>
      <c r="WZU166" s="22"/>
      <c r="WZV166" s="22"/>
      <c r="WZW166" s="22"/>
      <c r="WZX166" s="22"/>
      <c r="WZY166" s="22"/>
      <c r="WZZ166" s="22"/>
      <c r="XAA166" s="22"/>
      <c r="XAB166" s="22"/>
      <c r="XAC166" s="22"/>
      <c r="XAD166" s="22"/>
      <c r="XAE166" s="22"/>
      <c r="XAF166" s="22"/>
      <c r="XAG166" s="22"/>
      <c r="XAH166" s="22"/>
      <c r="XAI166" s="22"/>
      <c r="XAJ166" s="22"/>
      <c r="XAK166" s="22"/>
      <c r="XAL166" s="22"/>
      <c r="XAM166" s="22"/>
      <c r="XAN166" s="22"/>
      <c r="XAO166" s="22"/>
      <c r="XAP166" s="22"/>
      <c r="XAQ166" s="22"/>
      <c r="XAR166" s="22"/>
      <c r="XAS166" s="22"/>
      <c r="XAT166" s="22"/>
      <c r="XAU166" s="22"/>
      <c r="XAV166" s="22"/>
      <c r="XAW166" s="22"/>
      <c r="XAX166" s="22"/>
      <c r="XAY166" s="22"/>
      <c r="XAZ166" s="22"/>
      <c r="XBA166" s="22"/>
      <c r="XBB166" s="22"/>
      <c r="XBC166" s="22"/>
      <c r="XBD166" s="22"/>
      <c r="XBE166" s="22"/>
      <c r="XBF166" s="22"/>
      <c r="XBG166" s="22"/>
      <c r="XBH166" s="22"/>
      <c r="XBI166" s="22"/>
      <c r="XBJ166" s="22"/>
      <c r="XBK166" s="22"/>
      <c r="XBL166" s="22"/>
      <c r="XBM166" s="22"/>
      <c r="XBN166" s="22"/>
      <c r="XBO166" s="22"/>
      <c r="XBP166" s="22"/>
      <c r="XBQ166" s="22"/>
      <c r="XBR166" s="22"/>
      <c r="XBS166" s="22"/>
      <c r="XBT166" s="22"/>
      <c r="XBU166" s="22"/>
      <c r="XBV166" s="22"/>
      <c r="XBW166" s="22"/>
      <c r="XBX166" s="22"/>
      <c r="XBY166" s="22"/>
      <c r="XBZ166" s="22"/>
      <c r="XCA166" s="22"/>
      <c r="XCB166" s="22"/>
      <c r="XCC166" s="22"/>
      <c r="XCD166" s="22"/>
      <c r="XCE166" s="22"/>
      <c r="XCF166" s="22"/>
      <c r="XCG166" s="22"/>
      <c r="XCH166" s="22"/>
      <c r="XCI166" s="22"/>
      <c r="XCJ166" s="22"/>
      <c r="XCK166" s="22"/>
      <c r="XCL166" s="22"/>
      <c r="XCM166" s="22"/>
      <c r="XCN166" s="22"/>
      <c r="XCO166" s="22"/>
      <c r="XCP166" s="22"/>
      <c r="XCQ166" s="22"/>
      <c r="XCR166" s="22"/>
      <c r="XCS166" s="22"/>
      <c r="XCT166" s="22"/>
      <c r="XCU166" s="22"/>
      <c r="XCV166" s="22"/>
      <c r="XCW166" s="22"/>
      <c r="XCX166" s="22"/>
      <c r="XCY166" s="22"/>
      <c r="XCZ166" s="22"/>
      <c r="XDA166" s="22"/>
      <c r="XDB166" s="22"/>
      <c r="XDC166" s="22"/>
      <c r="XDD166" s="22"/>
      <c r="XDE166" s="22"/>
      <c r="XDF166" s="22"/>
      <c r="XDG166" s="22"/>
      <c r="XDH166" s="22"/>
      <c r="XDI166" s="22"/>
      <c r="XDJ166" s="22"/>
      <c r="XDK166" s="22"/>
      <c r="XDL166" s="22"/>
      <c r="XDM166" s="22"/>
      <c r="XDN166" s="22"/>
      <c r="XDO166" s="22"/>
      <c r="XDP166" s="22"/>
      <c r="XDQ166" s="22"/>
      <c r="XDR166" s="22"/>
      <c r="XDS166" s="22"/>
      <c r="XDT166" s="22"/>
      <c r="XDU166" s="22"/>
      <c r="XDV166" s="22"/>
      <c r="XDW166" s="22"/>
      <c r="XDX166" s="22"/>
      <c r="XDY166" s="22"/>
      <c r="XDZ166" s="22"/>
      <c r="XEA166" s="22"/>
      <c r="XEB166" s="22"/>
      <c r="XEC166" s="22"/>
      <c r="XED166" s="22"/>
      <c r="XEE166" s="22"/>
      <c r="XEF166" s="22"/>
      <c r="XEG166" s="22"/>
      <c r="XEH166" s="22"/>
      <c r="XEI166" s="22"/>
      <c r="XEJ166" s="22"/>
      <c r="XEK166" s="22"/>
      <c r="XEL166" s="22"/>
      <c r="XEM166" s="22"/>
      <c r="XEN166" s="22"/>
      <c r="XEO166" s="22"/>
      <c r="XEP166" s="22"/>
      <c r="XEQ166" s="22"/>
      <c r="XER166" s="22"/>
      <c r="XES166" s="22"/>
      <c r="XET166" s="22"/>
      <c r="XEU166" s="22"/>
      <c r="XEV166" s="22"/>
      <c r="XEW166" s="22"/>
      <c r="XEX166" s="22"/>
      <c r="XEY166" s="22"/>
      <c r="XEZ166" s="22"/>
      <c r="XFA166" s="22"/>
      <c r="XFB166" s="22"/>
      <c r="XFC166" s="22"/>
      <c r="XFD166" s="22"/>
    </row>
    <row r="167" spans="1:16384" s="251" customFormat="1" ht="69" x14ac:dyDescent="0.25">
      <c r="A167" s="124" t="s">
        <v>360</v>
      </c>
      <c r="B167" s="308" t="s">
        <v>585</v>
      </c>
      <c r="C167" s="69" t="s">
        <v>641</v>
      </c>
      <c r="D167" s="69" t="s">
        <v>376</v>
      </c>
      <c r="E167" s="398" t="s">
        <v>1363</v>
      </c>
      <c r="F167" s="73" t="s">
        <v>123</v>
      </c>
      <c r="G167" s="408">
        <f>475*1.0197/'Average wages'!B42</f>
        <v>2.0910978150114647E-2</v>
      </c>
      <c r="H167" s="398">
        <v>0</v>
      </c>
      <c r="I167" s="194" t="s">
        <v>859</v>
      </c>
      <c r="J167" s="533" t="str">
        <f>"EUR 19,500 ("&amp;TEXT(19500/'Average wages'!B42,"0%")&amp;" of AW)"</f>
        <v>EUR 19,500 (84% of AW)</v>
      </c>
      <c r="K167" s="122" t="str">
        <f>"Benefit decreases in steps with income brackets, fully withdrawn at EUR 49,000 ("&amp;TEXT(49000/'Average wages'!B42,"0%")&amp;" of AW) for 1-child families, EUR 59,000 ("&amp;TEXT(59000/'Average wages'!B42,"0%")&amp;" of AW) for those with 2 children plus EUR 5,000 ("&amp;TEXT(5000/'Average wages'!B42,"0%")&amp;" of AW) for each additional child"</f>
        <v>Benefit decreases in steps with income brackets, fully withdrawn at EUR 49,000 (212% of AW) for 1-child families, EUR 59,000 (255% of AW) for those with 2 children plus EUR 5,000 (22% of AW) for each additional child</v>
      </c>
      <c r="L167" s="112" t="s">
        <v>248</v>
      </c>
    </row>
    <row r="168" spans="1:16384" s="237" customFormat="1" ht="24" x14ac:dyDescent="0.25">
      <c r="A168" s="124" t="s">
        <v>362</v>
      </c>
      <c r="B168" s="365" t="s">
        <v>585</v>
      </c>
      <c r="C168" s="328" t="s">
        <v>724</v>
      </c>
      <c r="D168" s="328" t="s">
        <v>376</v>
      </c>
      <c r="E168" s="400" t="s">
        <v>1363</v>
      </c>
      <c r="F168" s="232" t="s">
        <v>416</v>
      </c>
      <c r="G168" s="305">
        <f>2160*1.0197/'Average wages'!B42</f>
        <v>9.5089921693152918E-2</v>
      </c>
      <c r="H168" s="400">
        <v>0</v>
      </c>
      <c r="I168" s="129">
        <v>0</v>
      </c>
      <c r="J168" s="523" t="str">
        <f>"EUR 39,000 ("&amp;TEXT(39000/'Average wages'!B42,"0%")&amp;" of AW)"</f>
        <v>EUR 39,000 (168% of AW)</v>
      </c>
      <c r="K168" s="524" t="str">
        <f>"Benefit decreases in steps, fully withdrawn at EUR 49,000 ("&amp;TEXT(49000/'Average wages'!B42,"0%")&amp;" of AW)"</f>
        <v>Benefit decreases in steps, fully withdrawn at EUR 49,000 (212% of AW)</v>
      </c>
      <c r="L168" s="332" t="s">
        <v>248</v>
      </c>
    </row>
    <row r="169" spans="1:16384" ht="34.5" x14ac:dyDescent="0.25">
      <c r="A169" s="124" t="s">
        <v>360</v>
      </c>
      <c r="B169" s="397" t="s">
        <v>192</v>
      </c>
      <c r="C169" s="336" t="s">
        <v>1130</v>
      </c>
      <c r="D169" s="336" t="s">
        <v>376</v>
      </c>
      <c r="E169" s="405" t="s">
        <v>1131</v>
      </c>
      <c r="F169" s="286" t="s">
        <v>123</v>
      </c>
      <c r="G169" s="415">
        <f>(25227-5963)*0.065/'[1]Average wages'!B43</f>
        <v>4.8342212956528456E-2</v>
      </c>
      <c r="H169" s="405" t="s">
        <v>398</v>
      </c>
      <c r="I169" s="378">
        <v>0</v>
      </c>
      <c r="J169" s="318" t="str">
        <f>"EUR 5,973 ("&amp;TEXT(5963/'[1]Average wages'!B43,"0%")&amp;" of AW)"</f>
        <v>EUR 5,973 (23% of AW)</v>
      </c>
      <c r="K169" s="319" t="s">
        <v>460</v>
      </c>
      <c r="L169" s="436" t="s">
        <v>104</v>
      </c>
    </row>
    <row r="170" spans="1:16384" ht="23.5" x14ac:dyDescent="0.25">
      <c r="A170" s="124"/>
      <c r="B170" s="397" t="s">
        <v>87</v>
      </c>
      <c r="C170" s="336" t="s">
        <v>1132</v>
      </c>
      <c r="D170" s="336" t="s">
        <v>380</v>
      </c>
      <c r="E170" s="405" t="s">
        <v>1133</v>
      </c>
      <c r="F170" s="286" t="s">
        <v>123</v>
      </c>
      <c r="G170" s="415">
        <f>150*12/'[1]Average wages'!B44</f>
        <v>2.7629397679130595E-2</v>
      </c>
      <c r="H170" s="405" t="s">
        <v>398</v>
      </c>
      <c r="I170" s="378">
        <v>0</v>
      </c>
      <c r="J170" s="318" t="s">
        <v>95</v>
      </c>
      <c r="K170" s="319" t="s">
        <v>95</v>
      </c>
      <c r="L170" s="436" t="s">
        <v>104</v>
      </c>
    </row>
    <row r="171" spans="1:16384" ht="46" x14ac:dyDescent="0.25">
      <c r="A171" s="124"/>
      <c r="B171" s="370" t="s">
        <v>87</v>
      </c>
      <c r="C171" s="327" t="s">
        <v>481</v>
      </c>
      <c r="D171" s="327" t="s">
        <v>376</v>
      </c>
      <c r="E171" s="389">
        <v>18</v>
      </c>
      <c r="F171" s="244" t="s">
        <v>123</v>
      </c>
      <c r="G171" s="416">
        <f>82*12/'[1]Average wages'!B44</f>
        <v>1.5104070731258058E-2</v>
      </c>
      <c r="H171" s="389">
        <v>0</v>
      </c>
      <c r="I171" s="385" t="s">
        <v>465</v>
      </c>
      <c r="J171" s="389" t="str">
        <f>"RON 200/month ("&amp;TEXT(200*12/'[1]Average wages'!B44,"0%")&amp;" of AW) of net income per person"</f>
        <v>RON 200/month (4% of AW) of net income per person</v>
      </c>
      <c r="K171" s="385" t="s">
        <v>636</v>
      </c>
      <c r="L171" s="441" t="s">
        <v>104</v>
      </c>
    </row>
    <row r="172" spans="1:16384" ht="46" x14ac:dyDescent="0.25">
      <c r="B172" s="442" t="s">
        <v>87</v>
      </c>
      <c r="C172" s="386" t="s">
        <v>482</v>
      </c>
      <c r="D172" s="386" t="s">
        <v>376</v>
      </c>
      <c r="E172" s="388">
        <v>18</v>
      </c>
      <c r="F172" s="77" t="s">
        <v>416</v>
      </c>
      <c r="G172" s="417">
        <f>107*12/'[1]Average wages'!B44</f>
        <v>1.9708970344446491E-2</v>
      </c>
      <c r="H172" s="388">
        <v>0</v>
      </c>
      <c r="I172" s="387" t="s">
        <v>465</v>
      </c>
      <c r="J172" s="388" t="str">
        <f>J171</f>
        <v>RON 200/month (4% of AW) of net income per person</v>
      </c>
      <c r="K172" s="387" t="s">
        <v>636</v>
      </c>
      <c r="L172" s="438" t="s">
        <v>104</v>
      </c>
    </row>
    <row r="174" spans="1:16384" ht="13" x14ac:dyDescent="0.25">
      <c r="B174" s="390" t="s">
        <v>88</v>
      </c>
    </row>
    <row r="175" spans="1:16384" x14ac:dyDescent="0.25">
      <c r="B175" s="555" t="s">
        <v>89</v>
      </c>
      <c r="C175" s="212"/>
      <c r="D175" s="212"/>
      <c r="E175" s="314"/>
      <c r="F175" s="212"/>
      <c r="G175" s="22"/>
      <c r="H175" s="22"/>
      <c r="I175" s="22"/>
      <c r="J175" s="22"/>
      <c r="K175" s="22"/>
      <c r="L175" s="22"/>
    </row>
    <row r="176" spans="1:16384" x14ac:dyDescent="0.25">
      <c r="B176" s="220" t="s">
        <v>524</v>
      </c>
      <c r="C176" s="212"/>
      <c r="D176" s="212"/>
      <c r="E176" s="314"/>
      <c r="F176" s="212"/>
      <c r="G176" s="22"/>
      <c r="H176" s="22"/>
      <c r="I176" s="22"/>
      <c r="J176" s="22"/>
      <c r="K176" s="22"/>
      <c r="L176" s="22"/>
    </row>
    <row r="177" spans="1:16384" x14ac:dyDescent="0.25">
      <c r="B177" s="220" t="s">
        <v>606</v>
      </c>
    </row>
    <row r="178" spans="1:16384" x14ac:dyDescent="0.25">
      <c r="B178" s="220" t="s">
        <v>525</v>
      </c>
    </row>
    <row r="179" spans="1:16384" x14ac:dyDescent="0.25">
      <c r="B179" s="220" t="s">
        <v>734</v>
      </c>
    </row>
    <row r="180" spans="1:16384" x14ac:dyDescent="0.25">
      <c r="B180" s="220" t="s">
        <v>1441</v>
      </c>
    </row>
    <row r="181" spans="1:16384" x14ac:dyDescent="0.25">
      <c r="B181" s="220" t="s">
        <v>1442</v>
      </c>
    </row>
    <row r="182" spans="1:16384" x14ac:dyDescent="0.25">
      <c r="B182" s="141" t="s">
        <v>1443</v>
      </c>
      <c r="C182" s="141"/>
      <c r="D182" s="141"/>
      <c r="E182" s="391"/>
      <c r="F182" s="141"/>
      <c r="G182" s="141"/>
      <c r="H182" s="141"/>
      <c r="I182" s="141"/>
      <c r="J182" s="141"/>
      <c r="K182" s="141"/>
      <c r="L182" s="141"/>
    </row>
    <row r="183" spans="1:16384" x14ac:dyDescent="0.25">
      <c r="A183" s="141"/>
      <c r="B183" s="220" t="s">
        <v>1444</v>
      </c>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1"/>
      <c r="AY183" s="141"/>
      <c r="AZ183" s="141"/>
      <c r="BA183" s="141"/>
      <c r="BB183" s="141"/>
      <c r="BC183" s="141"/>
      <c r="BD183" s="141"/>
      <c r="BE183" s="141"/>
      <c r="BF183" s="141"/>
      <c r="BG183" s="141"/>
      <c r="BH183" s="141"/>
      <c r="BI183" s="141"/>
      <c r="BJ183" s="141"/>
      <c r="BK183" s="141"/>
      <c r="BL183" s="141"/>
      <c r="BM183" s="141"/>
      <c r="BN183" s="141"/>
      <c r="BO183" s="141"/>
      <c r="BP183" s="141"/>
      <c r="BQ183" s="141"/>
      <c r="BR183" s="141"/>
      <c r="BS183" s="141"/>
      <c r="BT183" s="141"/>
      <c r="BU183" s="141"/>
      <c r="BV183" s="141"/>
      <c r="BW183" s="141"/>
      <c r="BX183" s="141"/>
      <c r="BY183" s="141"/>
      <c r="BZ183" s="141"/>
      <c r="CA183" s="141"/>
      <c r="CB183" s="141"/>
      <c r="CC183" s="141"/>
      <c r="CD183" s="141"/>
      <c r="CE183" s="141"/>
      <c r="CF183" s="141"/>
      <c r="CG183" s="141"/>
      <c r="CH183" s="141"/>
      <c r="CI183" s="141"/>
      <c r="CJ183" s="141"/>
      <c r="CK183" s="141"/>
      <c r="CL183" s="141"/>
      <c r="CM183" s="141"/>
      <c r="CN183" s="141"/>
      <c r="CO183" s="141"/>
      <c r="CP183" s="141"/>
      <c r="CQ183" s="141"/>
      <c r="CR183" s="141"/>
      <c r="CS183" s="141"/>
      <c r="CT183" s="141"/>
      <c r="CU183" s="141"/>
      <c r="CV183" s="141"/>
      <c r="CW183" s="141"/>
      <c r="CX183" s="141"/>
      <c r="CY183" s="141"/>
      <c r="CZ183" s="141"/>
      <c r="DA183" s="141"/>
      <c r="DB183" s="141"/>
      <c r="DC183" s="141"/>
      <c r="DD183" s="141"/>
      <c r="DE183" s="141"/>
      <c r="DF183" s="141"/>
      <c r="DG183" s="141"/>
      <c r="DH183" s="141"/>
      <c r="DI183" s="141"/>
      <c r="DJ183" s="141"/>
      <c r="DK183" s="141"/>
      <c r="DL183" s="141"/>
      <c r="DM183" s="141"/>
      <c r="DN183" s="141"/>
      <c r="DO183" s="141"/>
      <c r="DP183" s="141"/>
      <c r="DQ183" s="141"/>
      <c r="DR183" s="141"/>
      <c r="DS183" s="141"/>
      <c r="DT183" s="141"/>
      <c r="DU183" s="141"/>
      <c r="DV183" s="141"/>
      <c r="DW183" s="141"/>
      <c r="DX183" s="141"/>
      <c r="DY183" s="141"/>
      <c r="DZ183" s="141"/>
      <c r="EA183" s="141"/>
      <c r="EB183" s="141"/>
      <c r="EC183" s="141"/>
      <c r="ED183" s="141"/>
      <c r="EE183" s="141"/>
      <c r="EF183" s="141"/>
      <c r="EG183" s="141"/>
      <c r="EH183" s="141"/>
      <c r="EI183" s="141"/>
      <c r="EJ183" s="141"/>
      <c r="EK183" s="141"/>
      <c r="EL183" s="141"/>
      <c r="EM183" s="141"/>
      <c r="EN183" s="141"/>
      <c r="EO183" s="141"/>
      <c r="EP183" s="141"/>
      <c r="EQ183" s="141"/>
      <c r="ER183" s="141"/>
      <c r="ES183" s="141"/>
      <c r="ET183" s="141"/>
      <c r="EU183" s="141"/>
      <c r="EV183" s="141"/>
      <c r="EW183" s="141"/>
      <c r="EX183" s="141"/>
      <c r="EY183" s="141"/>
      <c r="EZ183" s="141"/>
      <c r="FA183" s="141"/>
      <c r="FB183" s="141"/>
      <c r="FC183" s="141"/>
      <c r="FD183" s="141"/>
      <c r="FE183" s="141"/>
      <c r="FF183" s="141"/>
      <c r="FG183" s="141"/>
      <c r="FH183" s="141"/>
      <c r="FI183" s="141"/>
      <c r="FJ183" s="141"/>
      <c r="FK183" s="141"/>
      <c r="FL183" s="141"/>
      <c r="FM183" s="141"/>
      <c r="FN183" s="141"/>
      <c r="FO183" s="141"/>
      <c r="FP183" s="141"/>
      <c r="FQ183" s="141"/>
      <c r="FR183" s="141"/>
      <c r="FS183" s="141"/>
      <c r="FT183" s="141"/>
      <c r="FU183" s="141"/>
      <c r="FV183" s="141"/>
      <c r="FW183" s="141"/>
      <c r="FX183" s="141"/>
      <c r="FY183" s="141"/>
      <c r="FZ183" s="141"/>
      <c r="GA183" s="141"/>
      <c r="GB183" s="141"/>
      <c r="GC183" s="141"/>
      <c r="GD183" s="141"/>
      <c r="GE183" s="141"/>
      <c r="GF183" s="141"/>
      <c r="GG183" s="141"/>
      <c r="GH183" s="141"/>
      <c r="GI183" s="141"/>
      <c r="GJ183" s="141"/>
      <c r="GK183" s="141"/>
      <c r="GL183" s="141"/>
      <c r="GM183" s="141"/>
      <c r="GN183" s="141"/>
      <c r="GO183" s="141"/>
      <c r="GP183" s="141"/>
      <c r="GQ183" s="141"/>
      <c r="GR183" s="141"/>
      <c r="GS183" s="141"/>
      <c r="GT183" s="141"/>
      <c r="GU183" s="141"/>
      <c r="GV183" s="141"/>
      <c r="GW183" s="141"/>
      <c r="GX183" s="141"/>
      <c r="GY183" s="141"/>
      <c r="GZ183" s="141"/>
      <c r="HA183" s="141"/>
      <c r="HB183" s="141"/>
      <c r="HC183" s="141"/>
      <c r="HD183" s="141"/>
      <c r="HE183" s="141"/>
      <c r="HF183" s="141"/>
      <c r="HG183" s="141"/>
      <c r="HH183" s="141"/>
      <c r="HI183" s="141"/>
      <c r="HJ183" s="141"/>
      <c r="HK183" s="141"/>
      <c r="HL183" s="141"/>
      <c r="HM183" s="141"/>
      <c r="HN183" s="141"/>
      <c r="HO183" s="141"/>
      <c r="HP183" s="141"/>
      <c r="HQ183" s="141"/>
      <c r="HR183" s="141"/>
      <c r="HS183" s="141"/>
      <c r="HT183" s="141"/>
      <c r="HU183" s="141"/>
      <c r="HV183" s="141"/>
      <c r="HW183" s="141"/>
      <c r="HX183" s="141"/>
      <c r="HY183" s="141"/>
      <c r="HZ183" s="141"/>
      <c r="IA183" s="141"/>
      <c r="IB183" s="141"/>
      <c r="IC183" s="141"/>
      <c r="ID183" s="141"/>
      <c r="IE183" s="141"/>
      <c r="IF183" s="141"/>
      <c r="IG183" s="141"/>
      <c r="IH183" s="141"/>
      <c r="II183" s="141"/>
      <c r="IJ183" s="141"/>
      <c r="IK183" s="141"/>
      <c r="IL183" s="141"/>
      <c r="IM183" s="141"/>
      <c r="IN183" s="141"/>
      <c r="IO183" s="141"/>
      <c r="IP183" s="141"/>
      <c r="IQ183" s="141"/>
      <c r="IR183" s="141"/>
      <c r="IS183" s="141"/>
      <c r="IT183" s="141"/>
      <c r="IU183" s="141"/>
      <c r="IV183" s="141"/>
      <c r="IW183" s="141"/>
      <c r="IX183" s="141"/>
      <c r="IY183" s="141"/>
      <c r="IZ183" s="141"/>
      <c r="JA183" s="141"/>
      <c r="JB183" s="141"/>
      <c r="JC183" s="141"/>
      <c r="JD183" s="141"/>
      <c r="JE183" s="141"/>
      <c r="JF183" s="141"/>
      <c r="JG183" s="141"/>
      <c r="JH183" s="141"/>
      <c r="JI183" s="141"/>
      <c r="JJ183" s="141"/>
      <c r="JK183" s="141"/>
      <c r="JL183" s="141"/>
      <c r="JM183" s="141"/>
      <c r="JN183" s="141"/>
      <c r="JO183" s="141"/>
      <c r="JP183" s="141"/>
      <c r="JQ183" s="141"/>
      <c r="JR183" s="141"/>
      <c r="JS183" s="141"/>
      <c r="JT183" s="141"/>
      <c r="JU183" s="141"/>
      <c r="JV183" s="141"/>
      <c r="JW183" s="141"/>
      <c r="JX183" s="141"/>
      <c r="JY183" s="141"/>
      <c r="JZ183" s="141"/>
      <c r="KA183" s="141"/>
      <c r="KB183" s="141"/>
      <c r="KC183" s="141"/>
      <c r="KD183" s="141"/>
      <c r="KE183" s="141"/>
      <c r="KF183" s="141"/>
      <c r="KG183" s="141"/>
      <c r="KH183" s="141"/>
      <c r="KI183" s="141"/>
      <c r="KJ183" s="141"/>
      <c r="KK183" s="141"/>
      <c r="KL183" s="141"/>
      <c r="KM183" s="141"/>
      <c r="KN183" s="141"/>
      <c r="KO183" s="141"/>
      <c r="KP183" s="141"/>
      <c r="KQ183" s="141"/>
      <c r="KR183" s="141"/>
      <c r="KS183" s="141"/>
      <c r="KT183" s="141"/>
      <c r="KU183" s="141"/>
      <c r="KV183" s="141"/>
      <c r="KW183" s="141"/>
      <c r="KX183" s="141"/>
      <c r="KY183" s="141"/>
      <c r="KZ183" s="141"/>
      <c r="LA183" s="141"/>
      <c r="LB183" s="141"/>
      <c r="LC183" s="141"/>
      <c r="LD183" s="141"/>
      <c r="LE183" s="141"/>
      <c r="LF183" s="141"/>
      <c r="LG183" s="141"/>
      <c r="LH183" s="141"/>
      <c r="LI183" s="141"/>
      <c r="LJ183" s="141"/>
      <c r="LK183" s="141"/>
      <c r="LL183" s="141"/>
      <c r="LM183" s="141"/>
      <c r="LN183" s="141"/>
      <c r="LO183" s="141"/>
      <c r="LP183" s="141"/>
      <c r="LQ183" s="141"/>
      <c r="LR183" s="141"/>
      <c r="LS183" s="141"/>
      <c r="LT183" s="141"/>
      <c r="LU183" s="141"/>
      <c r="LV183" s="141"/>
      <c r="LW183" s="141"/>
      <c r="LX183" s="141"/>
      <c r="LY183" s="141"/>
      <c r="LZ183" s="141"/>
      <c r="MA183" s="141"/>
      <c r="MB183" s="141"/>
      <c r="MC183" s="141"/>
      <c r="MD183" s="141"/>
      <c r="ME183" s="141"/>
      <c r="MF183" s="141"/>
      <c r="MG183" s="141"/>
      <c r="MH183" s="141"/>
      <c r="MI183" s="141"/>
      <c r="MJ183" s="141"/>
      <c r="MK183" s="141"/>
      <c r="ML183" s="141"/>
      <c r="MM183" s="141"/>
      <c r="MN183" s="141"/>
      <c r="MO183" s="141"/>
      <c r="MP183" s="141"/>
      <c r="MQ183" s="141"/>
      <c r="MR183" s="141"/>
      <c r="MS183" s="141"/>
      <c r="MT183" s="141"/>
      <c r="MU183" s="141"/>
      <c r="MV183" s="141"/>
      <c r="MW183" s="141"/>
      <c r="MX183" s="141"/>
      <c r="MY183" s="141"/>
      <c r="MZ183" s="141"/>
      <c r="NA183" s="141"/>
      <c r="NB183" s="141"/>
      <c r="NC183" s="141"/>
      <c r="ND183" s="141"/>
      <c r="NE183" s="141"/>
      <c r="NF183" s="141"/>
      <c r="NG183" s="141"/>
      <c r="NH183" s="141"/>
      <c r="NI183" s="141"/>
      <c r="NJ183" s="141"/>
      <c r="NK183" s="141"/>
      <c r="NL183" s="141"/>
      <c r="NM183" s="141"/>
      <c r="NN183" s="141"/>
      <c r="NO183" s="141"/>
      <c r="NP183" s="141"/>
      <c r="NQ183" s="141"/>
      <c r="NR183" s="141"/>
      <c r="NS183" s="141"/>
      <c r="NT183" s="141"/>
      <c r="NU183" s="141"/>
      <c r="NV183" s="141"/>
      <c r="NW183" s="141"/>
      <c r="NX183" s="141"/>
      <c r="NY183" s="141"/>
      <c r="NZ183" s="141"/>
      <c r="OA183" s="141"/>
      <c r="OB183" s="141"/>
      <c r="OC183" s="141"/>
      <c r="OD183" s="141"/>
      <c r="OE183" s="141"/>
      <c r="OF183" s="141"/>
      <c r="OG183" s="141"/>
      <c r="OH183" s="141"/>
      <c r="OI183" s="141"/>
      <c r="OJ183" s="141"/>
      <c r="OK183" s="141"/>
      <c r="OL183" s="141"/>
      <c r="OM183" s="141"/>
      <c r="ON183" s="141"/>
      <c r="OO183" s="141"/>
      <c r="OP183" s="141"/>
      <c r="OQ183" s="141"/>
      <c r="OR183" s="141"/>
      <c r="OS183" s="141"/>
      <c r="OT183" s="141"/>
      <c r="OU183" s="141"/>
      <c r="OV183" s="141"/>
      <c r="OW183" s="141"/>
      <c r="OX183" s="141"/>
      <c r="OY183" s="141"/>
      <c r="OZ183" s="141"/>
      <c r="PA183" s="141"/>
      <c r="PB183" s="141"/>
      <c r="PC183" s="141"/>
      <c r="PD183" s="141"/>
      <c r="PE183" s="141"/>
      <c r="PF183" s="141"/>
      <c r="PG183" s="141"/>
      <c r="PH183" s="141"/>
      <c r="PI183" s="141"/>
      <c r="PJ183" s="141"/>
      <c r="PK183" s="141"/>
      <c r="PL183" s="141"/>
      <c r="PM183" s="141"/>
      <c r="PN183" s="141"/>
      <c r="PO183" s="141"/>
      <c r="PP183" s="141"/>
      <c r="PQ183" s="141"/>
      <c r="PR183" s="141"/>
      <c r="PS183" s="141"/>
      <c r="PT183" s="141"/>
      <c r="PU183" s="141"/>
      <c r="PV183" s="141"/>
      <c r="PW183" s="141"/>
      <c r="PX183" s="141"/>
      <c r="PY183" s="141"/>
      <c r="PZ183" s="141"/>
      <c r="QA183" s="141"/>
      <c r="QB183" s="141"/>
      <c r="QC183" s="141"/>
      <c r="QD183" s="141"/>
      <c r="QE183" s="141"/>
      <c r="QF183" s="141"/>
      <c r="QG183" s="141"/>
      <c r="QH183" s="141"/>
      <c r="QI183" s="141"/>
      <c r="QJ183" s="141"/>
      <c r="QK183" s="141"/>
      <c r="QL183" s="141"/>
      <c r="QM183" s="141"/>
      <c r="QN183" s="141"/>
      <c r="QO183" s="141"/>
      <c r="QP183" s="141"/>
      <c r="QQ183" s="141"/>
      <c r="QR183" s="141"/>
      <c r="QS183" s="141"/>
      <c r="QT183" s="141"/>
      <c r="QU183" s="141"/>
      <c r="QV183" s="141"/>
      <c r="QW183" s="141"/>
      <c r="QX183" s="141"/>
      <c r="QY183" s="141"/>
      <c r="QZ183" s="141"/>
      <c r="RA183" s="141"/>
      <c r="RB183" s="141"/>
      <c r="RC183" s="141"/>
      <c r="RD183" s="141"/>
      <c r="RE183" s="141"/>
      <c r="RF183" s="141"/>
      <c r="RG183" s="141"/>
      <c r="RH183" s="141"/>
      <c r="RI183" s="141"/>
      <c r="RJ183" s="141"/>
      <c r="RK183" s="141"/>
      <c r="RL183" s="141"/>
      <c r="RM183" s="141"/>
      <c r="RN183" s="141"/>
      <c r="RO183" s="141"/>
      <c r="RP183" s="141"/>
      <c r="RQ183" s="141"/>
      <c r="RR183" s="141"/>
      <c r="RS183" s="141"/>
      <c r="RT183" s="141"/>
      <c r="RU183" s="141"/>
      <c r="RV183" s="141"/>
      <c r="RW183" s="141"/>
      <c r="RX183" s="141"/>
      <c r="RY183" s="141"/>
      <c r="RZ183" s="141"/>
      <c r="SA183" s="141"/>
      <c r="SB183" s="141"/>
      <c r="SC183" s="141"/>
      <c r="SD183" s="141"/>
      <c r="SE183" s="141"/>
      <c r="SF183" s="141"/>
      <c r="SG183" s="141"/>
      <c r="SH183" s="141"/>
      <c r="SI183" s="141"/>
      <c r="SJ183" s="141"/>
      <c r="SK183" s="141"/>
      <c r="SL183" s="141"/>
      <c r="SM183" s="141"/>
      <c r="SN183" s="141"/>
      <c r="SO183" s="141"/>
      <c r="SP183" s="141"/>
      <c r="SQ183" s="141"/>
      <c r="SR183" s="141"/>
      <c r="SS183" s="141"/>
      <c r="ST183" s="141"/>
      <c r="SU183" s="141"/>
      <c r="SV183" s="141"/>
      <c r="SW183" s="141"/>
      <c r="SX183" s="141"/>
      <c r="SY183" s="141"/>
      <c r="SZ183" s="141"/>
      <c r="TA183" s="141"/>
      <c r="TB183" s="141"/>
      <c r="TC183" s="141"/>
      <c r="TD183" s="141"/>
      <c r="TE183" s="141"/>
      <c r="TF183" s="141"/>
      <c r="TG183" s="141"/>
      <c r="TH183" s="141"/>
      <c r="TI183" s="141"/>
      <c r="TJ183" s="141"/>
      <c r="TK183" s="141"/>
      <c r="TL183" s="141"/>
      <c r="TM183" s="141"/>
      <c r="TN183" s="141"/>
      <c r="TO183" s="141"/>
      <c r="TP183" s="141"/>
      <c r="TQ183" s="141"/>
      <c r="TR183" s="141"/>
      <c r="TS183" s="141"/>
      <c r="TT183" s="141"/>
      <c r="TU183" s="141"/>
      <c r="TV183" s="141"/>
      <c r="TW183" s="141"/>
      <c r="TX183" s="141"/>
      <c r="TY183" s="141"/>
      <c r="TZ183" s="141"/>
      <c r="UA183" s="141"/>
      <c r="UB183" s="141"/>
      <c r="UC183" s="141"/>
      <c r="UD183" s="141"/>
      <c r="UE183" s="141"/>
      <c r="UF183" s="141"/>
      <c r="UG183" s="141"/>
      <c r="UH183" s="141"/>
      <c r="UI183" s="141"/>
      <c r="UJ183" s="141"/>
      <c r="UK183" s="141"/>
      <c r="UL183" s="141"/>
      <c r="UM183" s="141"/>
      <c r="UN183" s="141"/>
      <c r="UO183" s="141"/>
      <c r="UP183" s="141"/>
      <c r="UQ183" s="141"/>
      <c r="UR183" s="141"/>
      <c r="US183" s="141"/>
      <c r="UT183" s="141"/>
      <c r="UU183" s="141"/>
      <c r="UV183" s="141"/>
      <c r="UW183" s="141"/>
      <c r="UX183" s="141"/>
      <c r="UY183" s="141"/>
      <c r="UZ183" s="141"/>
      <c r="VA183" s="141"/>
      <c r="VB183" s="141"/>
      <c r="VC183" s="141"/>
      <c r="VD183" s="141"/>
      <c r="VE183" s="141"/>
      <c r="VF183" s="141"/>
      <c r="VG183" s="141"/>
      <c r="VH183" s="141"/>
      <c r="VI183" s="141"/>
      <c r="VJ183" s="141"/>
      <c r="VK183" s="141"/>
      <c r="VL183" s="141"/>
      <c r="VM183" s="141"/>
      <c r="VN183" s="141"/>
      <c r="VO183" s="141"/>
      <c r="VP183" s="141"/>
      <c r="VQ183" s="141"/>
      <c r="VR183" s="141"/>
      <c r="VS183" s="141"/>
      <c r="VT183" s="141"/>
      <c r="VU183" s="141"/>
      <c r="VV183" s="141"/>
      <c r="VW183" s="141"/>
      <c r="VX183" s="141"/>
      <c r="VY183" s="141"/>
      <c r="VZ183" s="141"/>
      <c r="WA183" s="141"/>
      <c r="WB183" s="141"/>
      <c r="WC183" s="141"/>
      <c r="WD183" s="141"/>
      <c r="WE183" s="141"/>
      <c r="WF183" s="141"/>
      <c r="WG183" s="141"/>
      <c r="WH183" s="141"/>
      <c r="WI183" s="141"/>
      <c r="WJ183" s="141"/>
      <c r="WK183" s="141"/>
      <c r="WL183" s="141"/>
      <c r="WM183" s="141"/>
      <c r="WN183" s="141"/>
      <c r="WO183" s="141"/>
      <c r="WP183" s="141"/>
      <c r="WQ183" s="141"/>
      <c r="WR183" s="141"/>
      <c r="WS183" s="141"/>
      <c r="WT183" s="141"/>
      <c r="WU183" s="141"/>
      <c r="WV183" s="141"/>
      <c r="WW183" s="141"/>
      <c r="WX183" s="141"/>
      <c r="WY183" s="141"/>
      <c r="WZ183" s="141"/>
      <c r="XA183" s="141"/>
      <c r="XB183" s="141"/>
      <c r="XC183" s="141"/>
      <c r="XD183" s="141"/>
      <c r="XE183" s="141"/>
      <c r="XF183" s="141"/>
      <c r="XG183" s="141"/>
      <c r="XH183" s="141"/>
      <c r="XI183" s="141"/>
      <c r="XJ183" s="141"/>
      <c r="XK183" s="141"/>
      <c r="XL183" s="141"/>
      <c r="XM183" s="141"/>
      <c r="XN183" s="141"/>
      <c r="XO183" s="141"/>
      <c r="XP183" s="141"/>
      <c r="XQ183" s="141"/>
      <c r="XR183" s="141"/>
      <c r="XS183" s="141"/>
      <c r="XT183" s="141"/>
      <c r="XU183" s="141"/>
      <c r="XV183" s="141"/>
      <c r="XW183" s="141"/>
      <c r="XX183" s="141"/>
      <c r="XY183" s="141"/>
      <c r="XZ183" s="141"/>
      <c r="YA183" s="141"/>
      <c r="YB183" s="141"/>
      <c r="YC183" s="141"/>
      <c r="YD183" s="141"/>
      <c r="YE183" s="141"/>
      <c r="YF183" s="141"/>
      <c r="YG183" s="141"/>
      <c r="YH183" s="141"/>
      <c r="YI183" s="141"/>
      <c r="YJ183" s="141"/>
      <c r="YK183" s="141"/>
      <c r="YL183" s="141"/>
      <c r="YM183" s="141"/>
      <c r="YN183" s="141"/>
      <c r="YO183" s="141"/>
      <c r="YP183" s="141"/>
      <c r="YQ183" s="141"/>
      <c r="YR183" s="141"/>
      <c r="YS183" s="141"/>
      <c r="YT183" s="141"/>
      <c r="YU183" s="141"/>
      <c r="YV183" s="141"/>
      <c r="YW183" s="141"/>
      <c r="YX183" s="141"/>
      <c r="YY183" s="141"/>
      <c r="YZ183" s="141"/>
      <c r="ZA183" s="141"/>
      <c r="ZB183" s="141"/>
      <c r="ZC183" s="141"/>
      <c r="ZD183" s="141"/>
      <c r="ZE183" s="141"/>
      <c r="ZF183" s="141"/>
      <c r="ZG183" s="141"/>
      <c r="ZH183" s="141"/>
      <c r="ZI183" s="141"/>
      <c r="ZJ183" s="141"/>
      <c r="ZK183" s="141"/>
      <c r="ZL183" s="141"/>
      <c r="ZM183" s="141"/>
      <c r="ZN183" s="141"/>
      <c r="ZO183" s="141"/>
      <c r="ZP183" s="141"/>
      <c r="ZQ183" s="141"/>
      <c r="ZR183" s="141"/>
      <c r="ZS183" s="141"/>
      <c r="ZT183" s="141"/>
      <c r="ZU183" s="141"/>
      <c r="ZV183" s="141"/>
      <c r="ZW183" s="141"/>
      <c r="ZX183" s="141"/>
      <c r="ZY183" s="141"/>
      <c r="ZZ183" s="141"/>
      <c r="AAA183" s="141"/>
      <c r="AAB183" s="141"/>
      <c r="AAC183" s="141"/>
      <c r="AAD183" s="141"/>
      <c r="AAE183" s="141"/>
      <c r="AAF183" s="141"/>
      <c r="AAG183" s="141"/>
      <c r="AAH183" s="141"/>
      <c r="AAI183" s="141"/>
      <c r="AAJ183" s="141"/>
      <c r="AAK183" s="141"/>
      <c r="AAL183" s="141"/>
      <c r="AAM183" s="141"/>
      <c r="AAN183" s="141"/>
      <c r="AAO183" s="141"/>
      <c r="AAP183" s="141"/>
      <c r="AAQ183" s="141"/>
      <c r="AAR183" s="141"/>
      <c r="AAS183" s="141"/>
      <c r="AAT183" s="141"/>
      <c r="AAU183" s="141"/>
      <c r="AAV183" s="141"/>
      <c r="AAW183" s="141"/>
      <c r="AAX183" s="141"/>
      <c r="AAY183" s="141"/>
      <c r="AAZ183" s="141"/>
      <c r="ABA183" s="141"/>
      <c r="ABB183" s="141"/>
      <c r="ABC183" s="141"/>
      <c r="ABD183" s="141"/>
      <c r="ABE183" s="141"/>
      <c r="ABF183" s="141"/>
      <c r="ABG183" s="141"/>
      <c r="ABH183" s="141"/>
      <c r="ABI183" s="141"/>
      <c r="ABJ183" s="141"/>
      <c r="ABK183" s="141"/>
      <c r="ABL183" s="141"/>
      <c r="ABM183" s="141"/>
      <c r="ABN183" s="141"/>
      <c r="ABO183" s="141"/>
      <c r="ABP183" s="141"/>
      <c r="ABQ183" s="141"/>
      <c r="ABR183" s="141"/>
      <c r="ABS183" s="141"/>
      <c r="ABT183" s="141"/>
      <c r="ABU183" s="141"/>
      <c r="ABV183" s="141"/>
      <c r="ABW183" s="141"/>
      <c r="ABX183" s="141"/>
      <c r="ABY183" s="141"/>
      <c r="ABZ183" s="141"/>
      <c r="ACA183" s="141"/>
      <c r="ACB183" s="141"/>
      <c r="ACC183" s="141"/>
      <c r="ACD183" s="141"/>
      <c r="ACE183" s="141"/>
      <c r="ACF183" s="141"/>
      <c r="ACG183" s="141"/>
      <c r="ACH183" s="141"/>
      <c r="ACI183" s="141"/>
      <c r="ACJ183" s="141"/>
      <c r="ACK183" s="141"/>
      <c r="ACL183" s="141"/>
      <c r="ACM183" s="141"/>
      <c r="ACN183" s="141"/>
      <c r="ACO183" s="141"/>
      <c r="ACP183" s="141"/>
      <c r="ACQ183" s="141"/>
      <c r="ACR183" s="141"/>
      <c r="ACS183" s="141"/>
      <c r="ACT183" s="141"/>
      <c r="ACU183" s="141"/>
      <c r="ACV183" s="141"/>
      <c r="ACW183" s="141"/>
      <c r="ACX183" s="141"/>
      <c r="ACY183" s="141"/>
      <c r="ACZ183" s="141"/>
      <c r="ADA183" s="141"/>
      <c r="ADB183" s="141"/>
      <c r="ADC183" s="141"/>
      <c r="ADD183" s="141"/>
      <c r="ADE183" s="141"/>
      <c r="ADF183" s="141"/>
      <c r="ADG183" s="141"/>
      <c r="ADH183" s="141"/>
      <c r="ADI183" s="141"/>
      <c r="ADJ183" s="141"/>
      <c r="ADK183" s="141"/>
      <c r="ADL183" s="141"/>
      <c r="ADM183" s="141"/>
      <c r="ADN183" s="141"/>
      <c r="ADO183" s="141"/>
      <c r="ADP183" s="141"/>
      <c r="ADQ183" s="141"/>
      <c r="ADR183" s="141"/>
      <c r="ADS183" s="141"/>
      <c r="ADT183" s="141"/>
      <c r="ADU183" s="141"/>
      <c r="ADV183" s="141"/>
      <c r="ADW183" s="141"/>
      <c r="ADX183" s="141"/>
      <c r="ADY183" s="141"/>
      <c r="ADZ183" s="141"/>
      <c r="AEA183" s="141"/>
      <c r="AEB183" s="141"/>
      <c r="AEC183" s="141"/>
      <c r="AED183" s="141"/>
      <c r="AEE183" s="141"/>
      <c r="AEF183" s="141"/>
      <c r="AEG183" s="141"/>
      <c r="AEH183" s="141"/>
      <c r="AEI183" s="141"/>
      <c r="AEJ183" s="141"/>
      <c r="AEK183" s="141"/>
      <c r="AEL183" s="141"/>
      <c r="AEM183" s="141"/>
      <c r="AEN183" s="141"/>
      <c r="AEO183" s="141"/>
      <c r="AEP183" s="141"/>
      <c r="AEQ183" s="141"/>
      <c r="AER183" s="141"/>
      <c r="AES183" s="141"/>
      <c r="AET183" s="141"/>
      <c r="AEU183" s="141"/>
      <c r="AEV183" s="141"/>
      <c r="AEW183" s="141"/>
      <c r="AEX183" s="141"/>
      <c r="AEY183" s="141"/>
      <c r="AEZ183" s="141"/>
      <c r="AFA183" s="141"/>
      <c r="AFB183" s="141"/>
      <c r="AFC183" s="141"/>
      <c r="AFD183" s="141"/>
      <c r="AFE183" s="141"/>
      <c r="AFF183" s="141"/>
      <c r="AFG183" s="141"/>
      <c r="AFH183" s="141"/>
      <c r="AFI183" s="141"/>
      <c r="AFJ183" s="141"/>
      <c r="AFK183" s="141"/>
      <c r="AFL183" s="141"/>
      <c r="AFM183" s="141"/>
      <c r="AFN183" s="141"/>
      <c r="AFO183" s="141"/>
      <c r="AFP183" s="141"/>
      <c r="AFQ183" s="141"/>
      <c r="AFR183" s="141"/>
      <c r="AFS183" s="141"/>
      <c r="AFT183" s="141"/>
      <c r="AFU183" s="141"/>
      <c r="AFV183" s="141"/>
      <c r="AFW183" s="141"/>
      <c r="AFX183" s="141"/>
      <c r="AFY183" s="141"/>
      <c r="AFZ183" s="141"/>
      <c r="AGA183" s="141"/>
      <c r="AGB183" s="141"/>
      <c r="AGC183" s="141"/>
      <c r="AGD183" s="141"/>
      <c r="AGE183" s="141"/>
      <c r="AGF183" s="141"/>
      <c r="AGG183" s="141"/>
      <c r="AGH183" s="141"/>
      <c r="AGI183" s="141"/>
      <c r="AGJ183" s="141"/>
      <c r="AGK183" s="141"/>
      <c r="AGL183" s="141"/>
      <c r="AGM183" s="141"/>
      <c r="AGN183" s="141"/>
      <c r="AGO183" s="141"/>
      <c r="AGP183" s="141"/>
      <c r="AGQ183" s="141"/>
      <c r="AGR183" s="141"/>
      <c r="AGS183" s="141"/>
      <c r="AGT183" s="141"/>
      <c r="AGU183" s="141"/>
      <c r="AGV183" s="141"/>
      <c r="AGW183" s="141"/>
      <c r="AGX183" s="141"/>
      <c r="AGY183" s="141"/>
      <c r="AGZ183" s="141"/>
      <c r="AHA183" s="141"/>
      <c r="AHB183" s="141"/>
      <c r="AHC183" s="141"/>
      <c r="AHD183" s="141"/>
      <c r="AHE183" s="141"/>
      <c r="AHF183" s="141"/>
      <c r="AHG183" s="141"/>
      <c r="AHH183" s="141"/>
      <c r="AHI183" s="141"/>
      <c r="AHJ183" s="141"/>
      <c r="AHK183" s="141"/>
      <c r="AHL183" s="141"/>
      <c r="AHM183" s="141"/>
      <c r="AHN183" s="141"/>
      <c r="AHO183" s="141"/>
      <c r="AHP183" s="141"/>
      <c r="AHQ183" s="141"/>
      <c r="AHR183" s="141"/>
      <c r="AHS183" s="141"/>
      <c r="AHT183" s="141"/>
      <c r="AHU183" s="141"/>
      <c r="AHV183" s="141"/>
      <c r="AHW183" s="141"/>
      <c r="AHX183" s="141"/>
      <c r="AHY183" s="141"/>
      <c r="AHZ183" s="141"/>
      <c r="AIA183" s="141"/>
      <c r="AIB183" s="141"/>
      <c r="AIC183" s="141"/>
      <c r="AID183" s="141"/>
      <c r="AIE183" s="141"/>
      <c r="AIF183" s="141"/>
      <c r="AIG183" s="141"/>
      <c r="AIH183" s="141"/>
      <c r="AII183" s="141"/>
      <c r="AIJ183" s="141"/>
      <c r="AIK183" s="141"/>
      <c r="AIL183" s="141"/>
      <c r="AIM183" s="141"/>
      <c r="AIN183" s="141"/>
      <c r="AIO183" s="141"/>
      <c r="AIP183" s="141"/>
      <c r="AIQ183" s="141"/>
      <c r="AIR183" s="141"/>
      <c r="AIS183" s="141"/>
      <c r="AIT183" s="141"/>
      <c r="AIU183" s="141"/>
      <c r="AIV183" s="141"/>
      <c r="AIW183" s="141"/>
      <c r="AIX183" s="141"/>
      <c r="AIY183" s="141"/>
      <c r="AIZ183" s="141"/>
      <c r="AJA183" s="141"/>
      <c r="AJB183" s="141"/>
      <c r="AJC183" s="141"/>
      <c r="AJD183" s="141"/>
      <c r="AJE183" s="141"/>
      <c r="AJF183" s="141"/>
      <c r="AJG183" s="141"/>
      <c r="AJH183" s="141"/>
      <c r="AJI183" s="141"/>
      <c r="AJJ183" s="141"/>
      <c r="AJK183" s="141"/>
      <c r="AJL183" s="141"/>
      <c r="AJM183" s="141"/>
      <c r="AJN183" s="141"/>
      <c r="AJO183" s="141"/>
      <c r="AJP183" s="141"/>
      <c r="AJQ183" s="141"/>
      <c r="AJR183" s="141"/>
      <c r="AJS183" s="141"/>
      <c r="AJT183" s="141"/>
      <c r="AJU183" s="141"/>
      <c r="AJV183" s="141"/>
      <c r="AJW183" s="141"/>
      <c r="AJX183" s="141"/>
      <c r="AJY183" s="141"/>
      <c r="AJZ183" s="141"/>
      <c r="AKA183" s="141"/>
      <c r="AKB183" s="141"/>
      <c r="AKC183" s="141"/>
      <c r="AKD183" s="141"/>
      <c r="AKE183" s="141"/>
      <c r="AKF183" s="141"/>
      <c r="AKG183" s="141"/>
      <c r="AKH183" s="141"/>
      <c r="AKI183" s="141"/>
      <c r="AKJ183" s="141"/>
      <c r="AKK183" s="141"/>
      <c r="AKL183" s="141"/>
      <c r="AKM183" s="141"/>
      <c r="AKN183" s="141"/>
      <c r="AKO183" s="141"/>
      <c r="AKP183" s="141"/>
      <c r="AKQ183" s="141"/>
      <c r="AKR183" s="141"/>
      <c r="AKS183" s="141"/>
      <c r="AKT183" s="141"/>
      <c r="AKU183" s="141"/>
      <c r="AKV183" s="141"/>
      <c r="AKW183" s="141"/>
      <c r="AKX183" s="141"/>
      <c r="AKY183" s="141"/>
      <c r="AKZ183" s="141"/>
      <c r="ALA183" s="141"/>
      <c r="ALB183" s="141"/>
      <c r="ALC183" s="141"/>
      <c r="ALD183" s="141"/>
      <c r="ALE183" s="141"/>
      <c r="ALF183" s="141"/>
      <c r="ALG183" s="141"/>
      <c r="ALH183" s="141"/>
      <c r="ALI183" s="141"/>
      <c r="ALJ183" s="141"/>
      <c r="ALK183" s="141"/>
      <c r="ALL183" s="141"/>
      <c r="ALM183" s="141"/>
      <c r="ALN183" s="141"/>
      <c r="ALO183" s="141"/>
      <c r="ALP183" s="141"/>
      <c r="ALQ183" s="141"/>
      <c r="ALR183" s="141"/>
      <c r="ALS183" s="141"/>
      <c r="ALT183" s="141"/>
      <c r="ALU183" s="141"/>
      <c r="ALV183" s="141"/>
      <c r="ALW183" s="141"/>
      <c r="ALX183" s="141"/>
      <c r="ALY183" s="141"/>
      <c r="ALZ183" s="141"/>
      <c r="AMA183" s="141"/>
      <c r="AMB183" s="141"/>
      <c r="AMC183" s="141"/>
      <c r="AMD183" s="141"/>
      <c r="AME183" s="141"/>
      <c r="AMF183" s="141"/>
      <c r="AMG183" s="141"/>
      <c r="AMH183" s="141"/>
      <c r="AMI183" s="141"/>
      <c r="AMJ183" s="141"/>
      <c r="AMK183" s="141"/>
      <c r="AML183" s="141"/>
      <c r="AMM183" s="141"/>
      <c r="AMN183" s="141"/>
      <c r="AMO183" s="141"/>
      <c r="AMP183" s="141"/>
      <c r="AMQ183" s="141"/>
      <c r="AMR183" s="141"/>
      <c r="AMS183" s="141"/>
      <c r="AMT183" s="141"/>
      <c r="AMU183" s="141"/>
      <c r="AMV183" s="141"/>
      <c r="AMW183" s="141"/>
      <c r="AMX183" s="141"/>
      <c r="AMY183" s="141"/>
      <c r="AMZ183" s="141"/>
      <c r="ANA183" s="141"/>
      <c r="ANB183" s="141"/>
      <c r="ANC183" s="141"/>
      <c r="AND183" s="141"/>
      <c r="ANE183" s="141"/>
      <c r="ANF183" s="141"/>
      <c r="ANG183" s="141"/>
      <c r="ANH183" s="141"/>
      <c r="ANI183" s="141"/>
      <c r="ANJ183" s="141"/>
      <c r="ANK183" s="141"/>
      <c r="ANL183" s="141"/>
      <c r="ANM183" s="141"/>
      <c r="ANN183" s="141"/>
      <c r="ANO183" s="141"/>
      <c r="ANP183" s="141"/>
      <c r="ANQ183" s="141"/>
      <c r="ANR183" s="141"/>
      <c r="ANS183" s="141"/>
      <c r="ANT183" s="141"/>
      <c r="ANU183" s="141"/>
      <c r="ANV183" s="141"/>
      <c r="ANW183" s="141"/>
      <c r="ANX183" s="141"/>
      <c r="ANY183" s="141"/>
      <c r="ANZ183" s="141"/>
      <c r="AOA183" s="141"/>
      <c r="AOB183" s="141"/>
      <c r="AOC183" s="141"/>
      <c r="AOD183" s="141"/>
      <c r="AOE183" s="141"/>
      <c r="AOF183" s="141"/>
      <c r="AOG183" s="141"/>
      <c r="AOH183" s="141"/>
      <c r="AOI183" s="141"/>
      <c r="AOJ183" s="141"/>
      <c r="AOK183" s="141"/>
      <c r="AOL183" s="141"/>
      <c r="AOM183" s="141"/>
      <c r="AON183" s="141"/>
      <c r="AOO183" s="141"/>
      <c r="AOP183" s="141"/>
      <c r="AOQ183" s="141"/>
      <c r="AOR183" s="141"/>
      <c r="AOS183" s="141"/>
      <c r="AOT183" s="141"/>
      <c r="AOU183" s="141"/>
      <c r="AOV183" s="141"/>
      <c r="AOW183" s="141"/>
      <c r="AOX183" s="141"/>
      <c r="AOY183" s="141"/>
      <c r="AOZ183" s="141"/>
      <c r="APA183" s="141"/>
      <c r="APB183" s="141"/>
      <c r="APC183" s="141"/>
      <c r="APD183" s="141"/>
      <c r="APE183" s="141"/>
      <c r="APF183" s="141"/>
      <c r="APG183" s="141"/>
      <c r="APH183" s="141"/>
      <c r="API183" s="141"/>
      <c r="APJ183" s="141"/>
      <c r="APK183" s="141"/>
      <c r="APL183" s="141"/>
      <c r="APM183" s="141"/>
      <c r="APN183" s="141"/>
      <c r="APO183" s="141"/>
      <c r="APP183" s="141"/>
      <c r="APQ183" s="141"/>
      <c r="APR183" s="141"/>
      <c r="APS183" s="141"/>
      <c r="APT183" s="141"/>
      <c r="APU183" s="141"/>
      <c r="APV183" s="141"/>
      <c r="APW183" s="141"/>
      <c r="APX183" s="141"/>
      <c r="APY183" s="141"/>
      <c r="APZ183" s="141"/>
      <c r="AQA183" s="141"/>
      <c r="AQB183" s="141"/>
      <c r="AQC183" s="141"/>
      <c r="AQD183" s="141"/>
      <c r="AQE183" s="141"/>
      <c r="AQF183" s="141"/>
      <c r="AQG183" s="141"/>
      <c r="AQH183" s="141"/>
      <c r="AQI183" s="141"/>
      <c r="AQJ183" s="141"/>
      <c r="AQK183" s="141"/>
      <c r="AQL183" s="141"/>
      <c r="AQM183" s="141"/>
      <c r="AQN183" s="141"/>
      <c r="AQO183" s="141"/>
      <c r="AQP183" s="141"/>
      <c r="AQQ183" s="141"/>
      <c r="AQR183" s="141"/>
      <c r="AQS183" s="141"/>
      <c r="AQT183" s="141"/>
      <c r="AQU183" s="141"/>
      <c r="AQV183" s="141"/>
      <c r="AQW183" s="141"/>
      <c r="AQX183" s="141"/>
      <c r="AQY183" s="141"/>
      <c r="AQZ183" s="141"/>
      <c r="ARA183" s="141"/>
      <c r="ARB183" s="141"/>
      <c r="ARC183" s="141"/>
      <c r="ARD183" s="141"/>
      <c r="ARE183" s="141"/>
      <c r="ARF183" s="141"/>
      <c r="ARG183" s="141"/>
      <c r="ARH183" s="141"/>
      <c r="ARI183" s="141"/>
      <c r="ARJ183" s="141"/>
      <c r="ARK183" s="141"/>
      <c r="ARL183" s="141"/>
      <c r="ARM183" s="141"/>
      <c r="ARN183" s="141"/>
      <c r="ARO183" s="141"/>
      <c r="ARP183" s="141"/>
      <c r="ARQ183" s="141"/>
      <c r="ARR183" s="141"/>
      <c r="ARS183" s="141"/>
      <c r="ART183" s="141"/>
      <c r="ARU183" s="141"/>
      <c r="ARV183" s="141"/>
      <c r="ARW183" s="141"/>
      <c r="ARX183" s="141"/>
      <c r="ARY183" s="141"/>
      <c r="ARZ183" s="141"/>
      <c r="ASA183" s="141"/>
      <c r="ASB183" s="141"/>
      <c r="ASC183" s="141"/>
      <c r="ASD183" s="141"/>
      <c r="ASE183" s="141"/>
      <c r="ASF183" s="141"/>
      <c r="ASG183" s="141"/>
      <c r="ASH183" s="141"/>
      <c r="ASI183" s="141"/>
      <c r="ASJ183" s="141"/>
      <c r="ASK183" s="141"/>
      <c r="ASL183" s="141"/>
      <c r="ASM183" s="141"/>
      <c r="ASN183" s="141"/>
      <c r="ASO183" s="141"/>
      <c r="ASP183" s="141"/>
      <c r="ASQ183" s="141"/>
      <c r="ASR183" s="141"/>
      <c r="ASS183" s="141"/>
      <c r="AST183" s="141"/>
      <c r="ASU183" s="141"/>
      <c r="ASV183" s="141"/>
      <c r="ASW183" s="141"/>
      <c r="ASX183" s="141"/>
      <c r="ASY183" s="141"/>
      <c r="ASZ183" s="141"/>
      <c r="ATA183" s="141"/>
      <c r="ATB183" s="141"/>
      <c r="ATC183" s="141"/>
      <c r="ATD183" s="141"/>
      <c r="ATE183" s="141"/>
      <c r="ATF183" s="141"/>
      <c r="ATG183" s="141"/>
      <c r="ATH183" s="141"/>
      <c r="ATI183" s="141"/>
      <c r="ATJ183" s="141"/>
      <c r="ATK183" s="141"/>
      <c r="ATL183" s="141"/>
      <c r="ATM183" s="141"/>
      <c r="ATN183" s="141"/>
      <c r="ATO183" s="141"/>
      <c r="ATP183" s="141"/>
      <c r="ATQ183" s="141"/>
      <c r="ATR183" s="141"/>
      <c r="ATS183" s="141"/>
      <c r="ATT183" s="141"/>
      <c r="ATU183" s="141"/>
      <c r="ATV183" s="141"/>
      <c r="ATW183" s="141"/>
      <c r="ATX183" s="141"/>
      <c r="ATY183" s="141"/>
      <c r="ATZ183" s="141"/>
      <c r="AUA183" s="141"/>
      <c r="AUB183" s="141"/>
      <c r="AUC183" s="141"/>
      <c r="AUD183" s="141"/>
      <c r="AUE183" s="141"/>
      <c r="AUF183" s="141"/>
      <c r="AUG183" s="141"/>
      <c r="AUH183" s="141"/>
      <c r="AUI183" s="141"/>
      <c r="AUJ183" s="141"/>
      <c r="AUK183" s="141"/>
      <c r="AUL183" s="141"/>
      <c r="AUM183" s="141"/>
      <c r="AUN183" s="141"/>
      <c r="AUO183" s="141"/>
      <c r="AUP183" s="141"/>
      <c r="AUQ183" s="141"/>
      <c r="AUR183" s="141"/>
      <c r="AUS183" s="141"/>
      <c r="AUT183" s="141"/>
      <c r="AUU183" s="141"/>
      <c r="AUV183" s="141"/>
      <c r="AUW183" s="141"/>
      <c r="AUX183" s="141"/>
      <c r="AUY183" s="141"/>
      <c r="AUZ183" s="141"/>
      <c r="AVA183" s="141"/>
      <c r="AVB183" s="141"/>
      <c r="AVC183" s="141"/>
      <c r="AVD183" s="141"/>
      <c r="AVE183" s="141"/>
      <c r="AVF183" s="141"/>
      <c r="AVG183" s="141"/>
      <c r="AVH183" s="141"/>
      <c r="AVI183" s="141"/>
      <c r="AVJ183" s="141"/>
      <c r="AVK183" s="141"/>
      <c r="AVL183" s="141"/>
      <c r="AVM183" s="141"/>
      <c r="AVN183" s="141"/>
      <c r="AVO183" s="141"/>
      <c r="AVP183" s="141"/>
      <c r="AVQ183" s="141"/>
      <c r="AVR183" s="141"/>
      <c r="AVS183" s="141"/>
      <c r="AVT183" s="141"/>
      <c r="AVU183" s="141"/>
      <c r="AVV183" s="141"/>
      <c r="AVW183" s="141"/>
      <c r="AVX183" s="141"/>
      <c r="AVY183" s="141"/>
      <c r="AVZ183" s="141"/>
      <c r="AWA183" s="141"/>
      <c r="AWB183" s="141"/>
      <c r="AWC183" s="141"/>
      <c r="AWD183" s="141"/>
      <c r="AWE183" s="141"/>
      <c r="AWF183" s="141"/>
      <c r="AWG183" s="141"/>
      <c r="AWH183" s="141"/>
      <c r="AWI183" s="141"/>
      <c r="AWJ183" s="141"/>
      <c r="AWK183" s="141"/>
      <c r="AWL183" s="141"/>
      <c r="AWM183" s="141"/>
      <c r="AWN183" s="141"/>
      <c r="AWO183" s="141"/>
      <c r="AWP183" s="141"/>
      <c r="AWQ183" s="141"/>
      <c r="AWR183" s="141"/>
      <c r="AWS183" s="141"/>
      <c r="AWT183" s="141"/>
      <c r="AWU183" s="141"/>
      <c r="AWV183" s="141"/>
      <c r="AWW183" s="141"/>
      <c r="AWX183" s="141"/>
      <c r="AWY183" s="141"/>
      <c r="AWZ183" s="141"/>
      <c r="AXA183" s="141"/>
      <c r="AXB183" s="141"/>
      <c r="AXC183" s="141"/>
      <c r="AXD183" s="141"/>
      <c r="AXE183" s="141"/>
      <c r="AXF183" s="141"/>
      <c r="AXG183" s="141"/>
      <c r="AXH183" s="141"/>
      <c r="AXI183" s="141"/>
      <c r="AXJ183" s="141"/>
      <c r="AXK183" s="141"/>
      <c r="AXL183" s="141"/>
      <c r="AXM183" s="141"/>
      <c r="AXN183" s="141"/>
      <c r="AXO183" s="141"/>
      <c r="AXP183" s="141"/>
      <c r="AXQ183" s="141"/>
      <c r="AXR183" s="141"/>
      <c r="AXS183" s="141"/>
      <c r="AXT183" s="141"/>
      <c r="AXU183" s="141"/>
      <c r="AXV183" s="141"/>
      <c r="AXW183" s="141"/>
      <c r="AXX183" s="141"/>
      <c r="AXY183" s="141"/>
      <c r="AXZ183" s="141"/>
      <c r="AYA183" s="141"/>
      <c r="AYB183" s="141"/>
      <c r="AYC183" s="141"/>
      <c r="AYD183" s="141"/>
      <c r="AYE183" s="141"/>
      <c r="AYF183" s="141"/>
      <c r="AYG183" s="141"/>
      <c r="AYH183" s="141"/>
      <c r="AYI183" s="141"/>
      <c r="AYJ183" s="141"/>
      <c r="AYK183" s="141"/>
      <c r="AYL183" s="141"/>
      <c r="AYM183" s="141"/>
      <c r="AYN183" s="141"/>
      <c r="AYO183" s="141"/>
      <c r="AYP183" s="141"/>
      <c r="AYQ183" s="141"/>
      <c r="AYR183" s="141"/>
      <c r="AYS183" s="141"/>
      <c r="AYT183" s="141"/>
      <c r="AYU183" s="141"/>
      <c r="AYV183" s="141"/>
      <c r="AYW183" s="141"/>
      <c r="AYX183" s="141"/>
      <c r="AYY183" s="141"/>
      <c r="AYZ183" s="141"/>
      <c r="AZA183" s="141"/>
      <c r="AZB183" s="141"/>
      <c r="AZC183" s="141"/>
      <c r="AZD183" s="141"/>
      <c r="AZE183" s="141"/>
      <c r="AZF183" s="141"/>
      <c r="AZG183" s="141"/>
      <c r="AZH183" s="141"/>
      <c r="AZI183" s="141"/>
      <c r="AZJ183" s="141"/>
      <c r="AZK183" s="141"/>
      <c r="AZL183" s="141"/>
      <c r="AZM183" s="141"/>
      <c r="AZN183" s="141"/>
      <c r="AZO183" s="141"/>
      <c r="AZP183" s="141"/>
      <c r="AZQ183" s="141"/>
      <c r="AZR183" s="141"/>
      <c r="AZS183" s="141"/>
      <c r="AZT183" s="141"/>
      <c r="AZU183" s="141"/>
      <c r="AZV183" s="141"/>
      <c r="AZW183" s="141"/>
      <c r="AZX183" s="141"/>
      <c r="AZY183" s="141"/>
      <c r="AZZ183" s="141"/>
      <c r="BAA183" s="141"/>
      <c r="BAB183" s="141"/>
      <c r="BAC183" s="141"/>
      <c r="BAD183" s="141"/>
      <c r="BAE183" s="141"/>
      <c r="BAF183" s="141"/>
      <c r="BAG183" s="141"/>
      <c r="BAH183" s="141"/>
      <c r="BAI183" s="141"/>
      <c r="BAJ183" s="141"/>
      <c r="BAK183" s="141"/>
      <c r="BAL183" s="141"/>
      <c r="BAM183" s="141"/>
      <c r="BAN183" s="141"/>
      <c r="BAO183" s="141"/>
      <c r="BAP183" s="141"/>
      <c r="BAQ183" s="141"/>
      <c r="BAR183" s="141"/>
      <c r="BAS183" s="141"/>
      <c r="BAT183" s="141"/>
      <c r="BAU183" s="141"/>
      <c r="BAV183" s="141"/>
      <c r="BAW183" s="141"/>
      <c r="BAX183" s="141"/>
      <c r="BAY183" s="141"/>
      <c r="BAZ183" s="141"/>
      <c r="BBA183" s="141"/>
      <c r="BBB183" s="141"/>
      <c r="BBC183" s="141"/>
      <c r="BBD183" s="141"/>
      <c r="BBE183" s="141"/>
      <c r="BBF183" s="141"/>
      <c r="BBG183" s="141"/>
      <c r="BBH183" s="141"/>
      <c r="BBI183" s="141"/>
      <c r="BBJ183" s="141"/>
      <c r="BBK183" s="141"/>
      <c r="BBL183" s="141"/>
      <c r="BBM183" s="141"/>
      <c r="BBN183" s="141"/>
      <c r="BBO183" s="141"/>
      <c r="BBP183" s="141"/>
      <c r="BBQ183" s="141"/>
      <c r="BBR183" s="141"/>
      <c r="BBS183" s="141"/>
      <c r="BBT183" s="141"/>
      <c r="BBU183" s="141"/>
      <c r="BBV183" s="141"/>
      <c r="BBW183" s="141"/>
      <c r="BBX183" s="141"/>
      <c r="BBY183" s="141"/>
      <c r="BBZ183" s="141"/>
      <c r="BCA183" s="141"/>
      <c r="BCB183" s="141"/>
      <c r="BCC183" s="141"/>
      <c r="BCD183" s="141"/>
      <c r="BCE183" s="141"/>
      <c r="BCF183" s="141"/>
      <c r="BCG183" s="141"/>
      <c r="BCH183" s="141"/>
      <c r="BCI183" s="141"/>
      <c r="BCJ183" s="141"/>
      <c r="BCK183" s="141"/>
      <c r="BCL183" s="141"/>
      <c r="BCM183" s="141"/>
      <c r="BCN183" s="141"/>
      <c r="BCO183" s="141"/>
      <c r="BCP183" s="141"/>
      <c r="BCQ183" s="141"/>
      <c r="BCR183" s="141"/>
      <c r="BCS183" s="141"/>
      <c r="BCT183" s="141"/>
      <c r="BCU183" s="141"/>
      <c r="BCV183" s="141"/>
      <c r="BCW183" s="141"/>
      <c r="BCX183" s="141"/>
      <c r="BCY183" s="141"/>
      <c r="BCZ183" s="141"/>
      <c r="BDA183" s="141"/>
      <c r="BDB183" s="141"/>
      <c r="BDC183" s="141"/>
      <c r="BDD183" s="141"/>
      <c r="BDE183" s="141"/>
      <c r="BDF183" s="141"/>
      <c r="BDG183" s="141"/>
      <c r="BDH183" s="141"/>
      <c r="BDI183" s="141"/>
      <c r="BDJ183" s="141"/>
      <c r="BDK183" s="141"/>
      <c r="BDL183" s="141"/>
      <c r="BDM183" s="141"/>
      <c r="BDN183" s="141"/>
      <c r="BDO183" s="141"/>
      <c r="BDP183" s="141"/>
      <c r="BDQ183" s="141"/>
      <c r="BDR183" s="141"/>
      <c r="BDS183" s="141"/>
      <c r="BDT183" s="141"/>
      <c r="BDU183" s="141"/>
      <c r="BDV183" s="141"/>
      <c r="BDW183" s="141"/>
      <c r="BDX183" s="141"/>
      <c r="BDY183" s="141"/>
      <c r="BDZ183" s="141"/>
      <c r="BEA183" s="141"/>
      <c r="BEB183" s="141"/>
      <c r="BEC183" s="141"/>
      <c r="BED183" s="141"/>
      <c r="BEE183" s="141"/>
      <c r="BEF183" s="141"/>
      <c r="BEG183" s="141"/>
      <c r="BEH183" s="141"/>
      <c r="BEI183" s="141"/>
      <c r="BEJ183" s="141"/>
      <c r="BEK183" s="141"/>
      <c r="BEL183" s="141"/>
      <c r="BEM183" s="141"/>
      <c r="BEN183" s="141"/>
      <c r="BEO183" s="141"/>
      <c r="BEP183" s="141"/>
      <c r="BEQ183" s="141"/>
      <c r="BER183" s="141"/>
      <c r="BES183" s="141"/>
      <c r="BET183" s="141"/>
      <c r="BEU183" s="141"/>
      <c r="BEV183" s="141"/>
      <c r="BEW183" s="141"/>
      <c r="BEX183" s="141"/>
      <c r="BEY183" s="141"/>
      <c r="BEZ183" s="141"/>
      <c r="BFA183" s="141"/>
      <c r="BFB183" s="141"/>
      <c r="BFC183" s="141"/>
      <c r="BFD183" s="141"/>
      <c r="BFE183" s="141"/>
      <c r="BFF183" s="141"/>
      <c r="BFG183" s="141"/>
      <c r="BFH183" s="141"/>
      <c r="BFI183" s="141"/>
      <c r="BFJ183" s="141"/>
      <c r="BFK183" s="141"/>
      <c r="BFL183" s="141"/>
      <c r="BFM183" s="141"/>
      <c r="BFN183" s="141"/>
      <c r="BFO183" s="141"/>
      <c r="BFP183" s="141"/>
      <c r="BFQ183" s="141"/>
      <c r="BFR183" s="141"/>
      <c r="BFS183" s="141"/>
      <c r="BFT183" s="141"/>
      <c r="BFU183" s="141"/>
      <c r="BFV183" s="141"/>
      <c r="BFW183" s="141"/>
      <c r="BFX183" s="141"/>
      <c r="BFY183" s="141"/>
      <c r="BFZ183" s="141"/>
      <c r="BGA183" s="141"/>
      <c r="BGB183" s="141"/>
      <c r="BGC183" s="141"/>
      <c r="BGD183" s="141"/>
      <c r="BGE183" s="141"/>
      <c r="BGF183" s="141"/>
      <c r="BGG183" s="141"/>
      <c r="BGH183" s="141"/>
      <c r="BGI183" s="141"/>
      <c r="BGJ183" s="141"/>
      <c r="BGK183" s="141"/>
      <c r="BGL183" s="141"/>
      <c r="BGM183" s="141"/>
      <c r="BGN183" s="141"/>
      <c r="BGO183" s="141"/>
      <c r="BGP183" s="141"/>
      <c r="BGQ183" s="141"/>
      <c r="BGR183" s="141"/>
      <c r="BGS183" s="141"/>
      <c r="BGT183" s="141"/>
      <c r="BGU183" s="141"/>
      <c r="BGV183" s="141"/>
      <c r="BGW183" s="141"/>
      <c r="BGX183" s="141"/>
      <c r="BGY183" s="141"/>
      <c r="BGZ183" s="141"/>
      <c r="BHA183" s="141"/>
      <c r="BHB183" s="141"/>
      <c r="BHC183" s="141"/>
      <c r="BHD183" s="141"/>
      <c r="BHE183" s="141"/>
      <c r="BHF183" s="141"/>
      <c r="BHG183" s="141"/>
      <c r="BHH183" s="141"/>
      <c r="BHI183" s="141"/>
      <c r="BHJ183" s="141"/>
      <c r="BHK183" s="141"/>
      <c r="BHL183" s="141"/>
      <c r="BHM183" s="141"/>
      <c r="BHN183" s="141"/>
      <c r="BHO183" s="141"/>
      <c r="BHP183" s="141"/>
      <c r="BHQ183" s="141"/>
      <c r="BHR183" s="141"/>
      <c r="BHS183" s="141"/>
      <c r="BHT183" s="141"/>
      <c r="BHU183" s="141"/>
      <c r="BHV183" s="141"/>
      <c r="BHW183" s="141"/>
      <c r="BHX183" s="141"/>
      <c r="BHY183" s="141"/>
      <c r="BHZ183" s="141"/>
      <c r="BIA183" s="141"/>
      <c r="BIB183" s="141"/>
      <c r="BIC183" s="141"/>
      <c r="BID183" s="141"/>
      <c r="BIE183" s="141"/>
      <c r="BIF183" s="141"/>
      <c r="BIG183" s="141"/>
      <c r="BIH183" s="141"/>
      <c r="BII183" s="141"/>
      <c r="BIJ183" s="141"/>
      <c r="BIK183" s="141"/>
      <c r="BIL183" s="141"/>
      <c r="BIM183" s="141"/>
      <c r="BIN183" s="141"/>
      <c r="BIO183" s="141"/>
      <c r="BIP183" s="141"/>
      <c r="BIQ183" s="141"/>
      <c r="BIR183" s="141"/>
      <c r="BIS183" s="141"/>
      <c r="BIT183" s="141"/>
      <c r="BIU183" s="141"/>
      <c r="BIV183" s="141"/>
      <c r="BIW183" s="141"/>
      <c r="BIX183" s="141"/>
      <c r="BIY183" s="141"/>
      <c r="BIZ183" s="141"/>
      <c r="BJA183" s="141"/>
      <c r="BJB183" s="141"/>
      <c r="BJC183" s="141"/>
      <c r="BJD183" s="141"/>
      <c r="BJE183" s="141"/>
      <c r="BJF183" s="141"/>
      <c r="BJG183" s="141"/>
      <c r="BJH183" s="141"/>
      <c r="BJI183" s="141"/>
      <c r="BJJ183" s="141"/>
      <c r="BJK183" s="141"/>
      <c r="BJL183" s="141"/>
      <c r="BJM183" s="141"/>
      <c r="BJN183" s="141"/>
      <c r="BJO183" s="141"/>
      <c r="BJP183" s="141"/>
      <c r="BJQ183" s="141"/>
      <c r="BJR183" s="141"/>
      <c r="BJS183" s="141"/>
      <c r="BJT183" s="141"/>
      <c r="BJU183" s="141"/>
      <c r="BJV183" s="141"/>
      <c r="BJW183" s="141"/>
      <c r="BJX183" s="141"/>
      <c r="BJY183" s="141"/>
      <c r="BJZ183" s="141"/>
      <c r="BKA183" s="141"/>
      <c r="BKB183" s="141"/>
      <c r="BKC183" s="141"/>
      <c r="BKD183" s="141"/>
      <c r="BKE183" s="141"/>
      <c r="BKF183" s="141"/>
      <c r="BKG183" s="141"/>
      <c r="BKH183" s="141"/>
      <c r="BKI183" s="141"/>
      <c r="BKJ183" s="141"/>
      <c r="BKK183" s="141"/>
      <c r="BKL183" s="141"/>
      <c r="BKM183" s="141"/>
      <c r="BKN183" s="141"/>
      <c r="BKO183" s="141"/>
      <c r="BKP183" s="141"/>
      <c r="BKQ183" s="141"/>
      <c r="BKR183" s="141"/>
      <c r="BKS183" s="141"/>
      <c r="BKT183" s="141"/>
      <c r="BKU183" s="141"/>
      <c r="BKV183" s="141"/>
      <c r="BKW183" s="141"/>
      <c r="BKX183" s="141"/>
      <c r="BKY183" s="141"/>
      <c r="BKZ183" s="141"/>
      <c r="BLA183" s="141"/>
      <c r="BLB183" s="141"/>
      <c r="BLC183" s="141"/>
      <c r="BLD183" s="141"/>
      <c r="BLE183" s="141"/>
      <c r="BLF183" s="141"/>
      <c r="BLG183" s="141"/>
      <c r="BLH183" s="141"/>
      <c r="BLI183" s="141"/>
      <c r="BLJ183" s="141"/>
      <c r="BLK183" s="141"/>
      <c r="BLL183" s="141"/>
      <c r="BLM183" s="141"/>
      <c r="BLN183" s="141"/>
      <c r="BLO183" s="141"/>
      <c r="BLP183" s="141"/>
      <c r="BLQ183" s="141"/>
      <c r="BLR183" s="141"/>
      <c r="BLS183" s="141"/>
      <c r="BLT183" s="141"/>
      <c r="BLU183" s="141"/>
      <c r="BLV183" s="141"/>
      <c r="BLW183" s="141"/>
      <c r="BLX183" s="141"/>
      <c r="BLY183" s="141"/>
      <c r="BLZ183" s="141"/>
      <c r="BMA183" s="141"/>
      <c r="BMB183" s="141"/>
      <c r="BMC183" s="141"/>
      <c r="BMD183" s="141"/>
      <c r="BME183" s="141"/>
      <c r="BMF183" s="141"/>
      <c r="BMG183" s="141"/>
      <c r="BMH183" s="141"/>
      <c r="BMI183" s="141"/>
      <c r="BMJ183" s="141"/>
      <c r="BMK183" s="141"/>
      <c r="BML183" s="141"/>
      <c r="BMM183" s="141"/>
      <c r="BMN183" s="141"/>
      <c r="BMO183" s="141"/>
      <c r="BMP183" s="141"/>
      <c r="BMQ183" s="141"/>
      <c r="BMR183" s="141"/>
      <c r="BMS183" s="141"/>
      <c r="BMT183" s="141"/>
      <c r="BMU183" s="141"/>
      <c r="BMV183" s="141"/>
      <c r="BMW183" s="141"/>
      <c r="BMX183" s="141"/>
      <c r="BMY183" s="141"/>
      <c r="BMZ183" s="141"/>
      <c r="BNA183" s="141"/>
      <c r="BNB183" s="141"/>
      <c r="BNC183" s="141"/>
      <c r="BND183" s="141"/>
      <c r="BNE183" s="141"/>
      <c r="BNF183" s="141"/>
      <c r="BNG183" s="141"/>
      <c r="BNH183" s="141"/>
      <c r="BNI183" s="141"/>
      <c r="BNJ183" s="141"/>
      <c r="BNK183" s="141"/>
      <c r="BNL183" s="141"/>
      <c r="BNM183" s="141"/>
      <c r="BNN183" s="141"/>
      <c r="BNO183" s="141"/>
      <c r="BNP183" s="141"/>
      <c r="BNQ183" s="141"/>
      <c r="BNR183" s="141"/>
      <c r="BNS183" s="141"/>
      <c r="BNT183" s="141"/>
      <c r="BNU183" s="141"/>
      <c r="BNV183" s="141"/>
      <c r="BNW183" s="141"/>
      <c r="BNX183" s="141"/>
      <c r="BNY183" s="141"/>
      <c r="BNZ183" s="141"/>
      <c r="BOA183" s="141"/>
      <c r="BOB183" s="141"/>
      <c r="BOC183" s="141"/>
      <c r="BOD183" s="141"/>
      <c r="BOE183" s="141"/>
      <c r="BOF183" s="141"/>
      <c r="BOG183" s="141"/>
      <c r="BOH183" s="141"/>
      <c r="BOI183" s="141"/>
      <c r="BOJ183" s="141"/>
      <c r="BOK183" s="141"/>
      <c r="BOL183" s="141"/>
      <c r="BOM183" s="141"/>
      <c r="BON183" s="141"/>
      <c r="BOO183" s="141"/>
      <c r="BOP183" s="141"/>
      <c r="BOQ183" s="141"/>
      <c r="BOR183" s="141"/>
      <c r="BOS183" s="141"/>
      <c r="BOT183" s="141"/>
      <c r="BOU183" s="141"/>
      <c r="BOV183" s="141"/>
      <c r="BOW183" s="141"/>
      <c r="BOX183" s="141"/>
      <c r="BOY183" s="141"/>
      <c r="BOZ183" s="141"/>
      <c r="BPA183" s="141"/>
      <c r="BPB183" s="141"/>
      <c r="BPC183" s="141"/>
      <c r="BPD183" s="141"/>
      <c r="BPE183" s="141"/>
      <c r="BPF183" s="141"/>
      <c r="BPG183" s="141"/>
      <c r="BPH183" s="141"/>
      <c r="BPI183" s="141"/>
      <c r="BPJ183" s="141"/>
      <c r="BPK183" s="141"/>
      <c r="BPL183" s="141"/>
      <c r="BPM183" s="141"/>
      <c r="BPN183" s="141"/>
      <c r="BPO183" s="141"/>
      <c r="BPP183" s="141"/>
      <c r="BPQ183" s="141"/>
      <c r="BPR183" s="141"/>
      <c r="BPS183" s="141"/>
      <c r="BPT183" s="141"/>
      <c r="BPU183" s="141"/>
      <c r="BPV183" s="141"/>
      <c r="BPW183" s="141"/>
      <c r="BPX183" s="141"/>
      <c r="BPY183" s="141"/>
      <c r="BPZ183" s="141"/>
      <c r="BQA183" s="141"/>
      <c r="BQB183" s="141"/>
      <c r="BQC183" s="141"/>
      <c r="BQD183" s="141"/>
      <c r="BQE183" s="141"/>
      <c r="BQF183" s="141"/>
      <c r="BQG183" s="141"/>
      <c r="BQH183" s="141"/>
      <c r="BQI183" s="141"/>
      <c r="BQJ183" s="141"/>
      <c r="BQK183" s="141"/>
      <c r="BQL183" s="141"/>
      <c r="BQM183" s="141"/>
      <c r="BQN183" s="141"/>
      <c r="BQO183" s="141"/>
      <c r="BQP183" s="141"/>
      <c r="BQQ183" s="141"/>
      <c r="BQR183" s="141"/>
      <c r="BQS183" s="141"/>
      <c r="BQT183" s="141"/>
      <c r="BQU183" s="141"/>
      <c r="BQV183" s="141"/>
      <c r="BQW183" s="141"/>
      <c r="BQX183" s="141"/>
      <c r="BQY183" s="141"/>
      <c r="BQZ183" s="141"/>
      <c r="BRA183" s="141"/>
      <c r="BRB183" s="141"/>
      <c r="BRC183" s="141"/>
      <c r="BRD183" s="141"/>
      <c r="BRE183" s="141"/>
      <c r="BRF183" s="141"/>
      <c r="BRG183" s="141"/>
      <c r="BRH183" s="141"/>
      <c r="BRI183" s="141"/>
      <c r="BRJ183" s="141"/>
      <c r="BRK183" s="141"/>
      <c r="BRL183" s="141"/>
      <c r="BRM183" s="141"/>
      <c r="BRN183" s="141"/>
      <c r="BRO183" s="141"/>
      <c r="BRP183" s="141"/>
      <c r="BRQ183" s="141"/>
      <c r="BRR183" s="141"/>
      <c r="BRS183" s="141"/>
      <c r="BRT183" s="141"/>
      <c r="BRU183" s="141"/>
      <c r="BRV183" s="141"/>
      <c r="BRW183" s="141"/>
      <c r="BRX183" s="141"/>
      <c r="BRY183" s="141"/>
      <c r="BRZ183" s="141"/>
      <c r="BSA183" s="141"/>
      <c r="BSB183" s="141"/>
      <c r="BSC183" s="141"/>
      <c r="BSD183" s="141"/>
      <c r="BSE183" s="141"/>
      <c r="BSF183" s="141"/>
      <c r="BSG183" s="141"/>
      <c r="BSH183" s="141"/>
      <c r="BSI183" s="141"/>
      <c r="BSJ183" s="141"/>
      <c r="BSK183" s="141"/>
      <c r="BSL183" s="141"/>
      <c r="BSM183" s="141"/>
      <c r="BSN183" s="141"/>
      <c r="BSO183" s="141"/>
      <c r="BSP183" s="141"/>
      <c r="BSQ183" s="141"/>
      <c r="BSR183" s="141"/>
      <c r="BSS183" s="141"/>
      <c r="BST183" s="141"/>
      <c r="BSU183" s="141"/>
      <c r="BSV183" s="141"/>
      <c r="BSW183" s="141"/>
      <c r="BSX183" s="141"/>
      <c r="BSY183" s="141"/>
      <c r="BSZ183" s="141"/>
      <c r="BTA183" s="141"/>
      <c r="BTB183" s="141"/>
      <c r="BTC183" s="141"/>
      <c r="BTD183" s="141"/>
      <c r="BTE183" s="141"/>
      <c r="BTF183" s="141"/>
      <c r="BTG183" s="141"/>
      <c r="BTH183" s="141"/>
      <c r="BTI183" s="141"/>
      <c r="BTJ183" s="141"/>
      <c r="BTK183" s="141"/>
      <c r="BTL183" s="141"/>
      <c r="BTM183" s="141"/>
      <c r="BTN183" s="141"/>
      <c r="BTO183" s="141"/>
      <c r="BTP183" s="141"/>
      <c r="BTQ183" s="141"/>
      <c r="BTR183" s="141"/>
      <c r="BTS183" s="141"/>
      <c r="BTT183" s="141"/>
      <c r="BTU183" s="141"/>
      <c r="BTV183" s="141"/>
      <c r="BTW183" s="141"/>
      <c r="BTX183" s="141"/>
      <c r="BTY183" s="141"/>
      <c r="BTZ183" s="141"/>
      <c r="BUA183" s="141"/>
      <c r="BUB183" s="141"/>
      <c r="BUC183" s="141"/>
      <c r="BUD183" s="141"/>
      <c r="BUE183" s="141"/>
      <c r="BUF183" s="141"/>
      <c r="BUG183" s="141"/>
      <c r="BUH183" s="141"/>
      <c r="BUI183" s="141"/>
      <c r="BUJ183" s="141"/>
      <c r="BUK183" s="141"/>
      <c r="BUL183" s="141"/>
      <c r="BUM183" s="141"/>
      <c r="BUN183" s="141"/>
      <c r="BUO183" s="141"/>
      <c r="BUP183" s="141"/>
      <c r="BUQ183" s="141"/>
      <c r="BUR183" s="141"/>
      <c r="BUS183" s="141"/>
      <c r="BUT183" s="141"/>
      <c r="BUU183" s="141"/>
      <c r="BUV183" s="141"/>
      <c r="BUW183" s="141"/>
      <c r="BUX183" s="141"/>
      <c r="BUY183" s="141"/>
      <c r="BUZ183" s="141"/>
      <c r="BVA183" s="141"/>
      <c r="BVB183" s="141"/>
      <c r="BVC183" s="141"/>
      <c r="BVD183" s="141"/>
      <c r="BVE183" s="141"/>
      <c r="BVF183" s="141"/>
      <c r="BVG183" s="141"/>
      <c r="BVH183" s="141"/>
      <c r="BVI183" s="141"/>
      <c r="BVJ183" s="141"/>
      <c r="BVK183" s="141"/>
      <c r="BVL183" s="141"/>
      <c r="BVM183" s="141"/>
      <c r="BVN183" s="141"/>
      <c r="BVO183" s="141"/>
      <c r="BVP183" s="141"/>
      <c r="BVQ183" s="141"/>
      <c r="BVR183" s="141"/>
      <c r="BVS183" s="141"/>
      <c r="BVT183" s="141"/>
      <c r="BVU183" s="141"/>
      <c r="BVV183" s="141"/>
      <c r="BVW183" s="141"/>
      <c r="BVX183" s="141"/>
      <c r="BVY183" s="141"/>
      <c r="BVZ183" s="141"/>
      <c r="BWA183" s="141"/>
      <c r="BWB183" s="141"/>
      <c r="BWC183" s="141"/>
      <c r="BWD183" s="141"/>
      <c r="BWE183" s="141"/>
      <c r="BWF183" s="141"/>
      <c r="BWG183" s="141"/>
      <c r="BWH183" s="141"/>
      <c r="BWI183" s="141"/>
      <c r="BWJ183" s="141"/>
      <c r="BWK183" s="141"/>
      <c r="BWL183" s="141"/>
      <c r="BWM183" s="141"/>
      <c r="BWN183" s="141"/>
      <c r="BWO183" s="141"/>
      <c r="BWP183" s="141"/>
      <c r="BWQ183" s="141"/>
      <c r="BWR183" s="141"/>
      <c r="BWS183" s="141"/>
      <c r="BWT183" s="141"/>
      <c r="BWU183" s="141"/>
      <c r="BWV183" s="141"/>
      <c r="BWW183" s="141"/>
      <c r="BWX183" s="141"/>
      <c r="BWY183" s="141"/>
      <c r="BWZ183" s="141"/>
      <c r="BXA183" s="141"/>
      <c r="BXB183" s="141"/>
      <c r="BXC183" s="141"/>
      <c r="BXD183" s="141"/>
      <c r="BXE183" s="141"/>
      <c r="BXF183" s="141"/>
      <c r="BXG183" s="141"/>
      <c r="BXH183" s="141"/>
      <c r="BXI183" s="141"/>
      <c r="BXJ183" s="141"/>
      <c r="BXK183" s="141"/>
      <c r="BXL183" s="141"/>
      <c r="BXM183" s="141"/>
      <c r="BXN183" s="141"/>
      <c r="BXO183" s="141"/>
      <c r="BXP183" s="141"/>
      <c r="BXQ183" s="141"/>
      <c r="BXR183" s="141"/>
      <c r="BXS183" s="141"/>
      <c r="BXT183" s="141"/>
      <c r="BXU183" s="141"/>
      <c r="BXV183" s="141"/>
      <c r="BXW183" s="141"/>
      <c r="BXX183" s="141"/>
      <c r="BXY183" s="141"/>
      <c r="BXZ183" s="141"/>
      <c r="BYA183" s="141"/>
      <c r="BYB183" s="141"/>
      <c r="BYC183" s="141"/>
      <c r="BYD183" s="141"/>
      <c r="BYE183" s="141"/>
      <c r="BYF183" s="141"/>
      <c r="BYG183" s="141"/>
      <c r="BYH183" s="141"/>
      <c r="BYI183" s="141"/>
      <c r="BYJ183" s="141"/>
      <c r="BYK183" s="141"/>
      <c r="BYL183" s="141"/>
      <c r="BYM183" s="141"/>
      <c r="BYN183" s="141"/>
      <c r="BYO183" s="141"/>
      <c r="BYP183" s="141"/>
      <c r="BYQ183" s="141"/>
      <c r="BYR183" s="141"/>
      <c r="BYS183" s="141"/>
      <c r="BYT183" s="141"/>
      <c r="BYU183" s="141"/>
      <c r="BYV183" s="141"/>
      <c r="BYW183" s="141"/>
      <c r="BYX183" s="141"/>
      <c r="BYY183" s="141"/>
      <c r="BYZ183" s="141"/>
      <c r="BZA183" s="141"/>
      <c r="BZB183" s="141"/>
      <c r="BZC183" s="141"/>
      <c r="BZD183" s="141"/>
      <c r="BZE183" s="141"/>
      <c r="BZF183" s="141"/>
      <c r="BZG183" s="141"/>
      <c r="BZH183" s="141"/>
      <c r="BZI183" s="141"/>
      <c r="BZJ183" s="141"/>
      <c r="BZK183" s="141"/>
      <c r="BZL183" s="141"/>
      <c r="BZM183" s="141"/>
      <c r="BZN183" s="141"/>
      <c r="BZO183" s="141"/>
      <c r="BZP183" s="141"/>
      <c r="BZQ183" s="141"/>
      <c r="BZR183" s="141"/>
      <c r="BZS183" s="141"/>
      <c r="BZT183" s="141"/>
      <c r="BZU183" s="141"/>
      <c r="BZV183" s="141"/>
      <c r="BZW183" s="141"/>
      <c r="BZX183" s="141"/>
      <c r="BZY183" s="141"/>
      <c r="BZZ183" s="141"/>
      <c r="CAA183" s="141"/>
      <c r="CAB183" s="141"/>
      <c r="CAC183" s="141"/>
      <c r="CAD183" s="141"/>
      <c r="CAE183" s="141"/>
      <c r="CAF183" s="141"/>
      <c r="CAG183" s="141"/>
      <c r="CAH183" s="141"/>
      <c r="CAI183" s="141"/>
      <c r="CAJ183" s="141"/>
      <c r="CAK183" s="141"/>
      <c r="CAL183" s="141"/>
      <c r="CAM183" s="141"/>
      <c r="CAN183" s="141"/>
      <c r="CAO183" s="141"/>
      <c r="CAP183" s="141"/>
      <c r="CAQ183" s="141"/>
      <c r="CAR183" s="141"/>
      <c r="CAS183" s="141"/>
      <c r="CAT183" s="141"/>
      <c r="CAU183" s="141"/>
      <c r="CAV183" s="141"/>
      <c r="CAW183" s="141"/>
      <c r="CAX183" s="141"/>
      <c r="CAY183" s="141"/>
      <c r="CAZ183" s="141"/>
      <c r="CBA183" s="141"/>
      <c r="CBB183" s="141"/>
      <c r="CBC183" s="141"/>
      <c r="CBD183" s="141"/>
      <c r="CBE183" s="141"/>
      <c r="CBF183" s="141"/>
      <c r="CBG183" s="141"/>
      <c r="CBH183" s="141"/>
      <c r="CBI183" s="141"/>
      <c r="CBJ183" s="141"/>
      <c r="CBK183" s="141"/>
      <c r="CBL183" s="141"/>
      <c r="CBM183" s="141"/>
      <c r="CBN183" s="141"/>
      <c r="CBO183" s="141"/>
      <c r="CBP183" s="141"/>
      <c r="CBQ183" s="141"/>
      <c r="CBR183" s="141"/>
      <c r="CBS183" s="141"/>
      <c r="CBT183" s="141"/>
      <c r="CBU183" s="141"/>
      <c r="CBV183" s="141"/>
      <c r="CBW183" s="141"/>
      <c r="CBX183" s="141"/>
      <c r="CBY183" s="141"/>
      <c r="CBZ183" s="141"/>
      <c r="CCA183" s="141"/>
      <c r="CCB183" s="141"/>
      <c r="CCC183" s="141"/>
      <c r="CCD183" s="141"/>
      <c r="CCE183" s="141"/>
      <c r="CCF183" s="141"/>
      <c r="CCG183" s="141"/>
      <c r="CCH183" s="141"/>
      <c r="CCI183" s="141"/>
      <c r="CCJ183" s="141"/>
      <c r="CCK183" s="141"/>
      <c r="CCL183" s="141"/>
      <c r="CCM183" s="141"/>
      <c r="CCN183" s="141"/>
      <c r="CCO183" s="141"/>
      <c r="CCP183" s="141"/>
      <c r="CCQ183" s="141"/>
      <c r="CCR183" s="141"/>
      <c r="CCS183" s="141"/>
      <c r="CCT183" s="141"/>
      <c r="CCU183" s="141"/>
      <c r="CCV183" s="141"/>
      <c r="CCW183" s="141"/>
      <c r="CCX183" s="141"/>
      <c r="CCY183" s="141"/>
      <c r="CCZ183" s="141"/>
      <c r="CDA183" s="141"/>
      <c r="CDB183" s="141"/>
      <c r="CDC183" s="141"/>
      <c r="CDD183" s="141"/>
      <c r="CDE183" s="141"/>
      <c r="CDF183" s="141"/>
      <c r="CDG183" s="141"/>
      <c r="CDH183" s="141"/>
      <c r="CDI183" s="141"/>
      <c r="CDJ183" s="141"/>
      <c r="CDK183" s="141"/>
      <c r="CDL183" s="141"/>
      <c r="CDM183" s="141"/>
      <c r="CDN183" s="141"/>
      <c r="CDO183" s="141"/>
      <c r="CDP183" s="141"/>
      <c r="CDQ183" s="141"/>
      <c r="CDR183" s="141"/>
      <c r="CDS183" s="141"/>
      <c r="CDT183" s="141"/>
      <c r="CDU183" s="141"/>
      <c r="CDV183" s="141"/>
      <c r="CDW183" s="141"/>
      <c r="CDX183" s="141"/>
      <c r="CDY183" s="141"/>
      <c r="CDZ183" s="141"/>
      <c r="CEA183" s="141"/>
      <c r="CEB183" s="141"/>
      <c r="CEC183" s="141"/>
      <c r="CED183" s="141"/>
      <c r="CEE183" s="141"/>
      <c r="CEF183" s="141"/>
      <c r="CEG183" s="141"/>
      <c r="CEH183" s="141"/>
      <c r="CEI183" s="141"/>
      <c r="CEJ183" s="141"/>
      <c r="CEK183" s="141"/>
      <c r="CEL183" s="141"/>
      <c r="CEM183" s="141"/>
      <c r="CEN183" s="141"/>
      <c r="CEO183" s="141"/>
      <c r="CEP183" s="141"/>
      <c r="CEQ183" s="141"/>
      <c r="CER183" s="141"/>
      <c r="CES183" s="141"/>
      <c r="CET183" s="141"/>
      <c r="CEU183" s="141"/>
      <c r="CEV183" s="141"/>
      <c r="CEW183" s="141"/>
      <c r="CEX183" s="141"/>
      <c r="CEY183" s="141"/>
      <c r="CEZ183" s="141"/>
      <c r="CFA183" s="141"/>
      <c r="CFB183" s="141"/>
      <c r="CFC183" s="141"/>
      <c r="CFD183" s="141"/>
      <c r="CFE183" s="141"/>
      <c r="CFF183" s="141"/>
      <c r="CFG183" s="141"/>
      <c r="CFH183" s="141"/>
      <c r="CFI183" s="141"/>
      <c r="CFJ183" s="141"/>
      <c r="CFK183" s="141"/>
      <c r="CFL183" s="141"/>
      <c r="CFM183" s="141"/>
      <c r="CFN183" s="141"/>
      <c r="CFO183" s="141"/>
      <c r="CFP183" s="141"/>
      <c r="CFQ183" s="141"/>
      <c r="CFR183" s="141"/>
      <c r="CFS183" s="141"/>
      <c r="CFT183" s="141"/>
      <c r="CFU183" s="141"/>
      <c r="CFV183" s="141"/>
      <c r="CFW183" s="141"/>
      <c r="CFX183" s="141"/>
      <c r="CFY183" s="141"/>
      <c r="CFZ183" s="141"/>
      <c r="CGA183" s="141"/>
      <c r="CGB183" s="141"/>
      <c r="CGC183" s="141"/>
      <c r="CGD183" s="141"/>
      <c r="CGE183" s="141"/>
      <c r="CGF183" s="141"/>
      <c r="CGG183" s="141"/>
      <c r="CGH183" s="141"/>
      <c r="CGI183" s="141"/>
      <c r="CGJ183" s="141"/>
      <c r="CGK183" s="141"/>
      <c r="CGL183" s="141"/>
      <c r="CGM183" s="141"/>
      <c r="CGN183" s="141"/>
      <c r="CGO183" s="141"/>
      <c r="CGP183" s="141"/>
      <c r="CGQ183" s="141"/>
      <c r="CGR183" s="141"/>
      <c r="CGS183" s="141"/>
      <c r="CGT183" s="141"/>
      <c r="CGU183" s="141"/>
      <c r="CGV183" s="141"/>
      <c r="CGW183" s="141"/>
      <c r="CGX183" s="141"/>
      <c r="CGY183" s="141"/>
      <c r="CGZ183" s="141"/>
      <c r="CHA183" s="141"/>
      <c r="CHB183" s="141"/>
      <c r="CHC183" s="141"/>
      <c r="CHD183" s="141"/>
      <c r="CHE183" s="141"/>
      <c r="CHF183" s="141"/>
      <c r="CHG183" s="141"/>
      <c r="CHH183" s="141"/>
      <c r="CHI183" s="141"/>
      <c r="CHJ183" s="141"/>
      <c r="CHK183" s="141"/>
      <c r="CHL183" s="141"/>
      <c r="CHM183" s="141"/>
      <c r="CHN183" s="141"/>
      <c r="CHO183" s="141"/>
      <c r="CHP183" s="141"/>
      <c r="CHQ183" s="141"/>
      <c r="CHR183" s="141"/>
      <c r="CHS183" s="141"/>
      <c r="CHT183" s="141"/>
      <c r="CHU183" s="141"/>
      <c r="CHV183" s="141"/>
      <c r="CHW183" s="141"/>
      <c r="CHX183" s="141"/>
      <c r="CHY183" s="141"/>
      <c r="CHZ183" s="141"/>
      <c r="CIA183" s="141"/>
      <c r="CIB183" s="141"/>
      <c r="CIC183" s="141"/>
      <c r="CID183" s="141"/>
      <c r="CIE183" s="141"/>
      <c r="CIF183" s="141"/>
      <c r="CIG183" s="141"/>
      <c r="CIH183" s="141"/>
      <c r="CII183" s="141"/>
      <c r="CIJ183" s="141"/>
      <c r="CIK183" s="141"/>
      <c r="CIL183" s="141"/>
      <c r="CIM183" s="141"/>
      <c r="CIN183" s="141"/>
      <c r="CIO183" s="141"/>
      <c r="CIP183" s="141"/>
      <c r="CIQ183" s="141"/>
      <c r="CIR183" s="141"/>
      <c r="CIS183" s="141"/>
      <c r="CIT183" s="141"/>
      <c r="CIU183" s="141"/>
      <c r="CIV183" s="141"/>
      <c r="CIW183" s="141"/>
      <c r="CIX183" s="141"/>
      <c r="CIY183" s="141"/>
      <c r="CIZ183" s="141"/>
      <c r="CJA183" s="141"/>
      <c r="CJB183" s="141"/>
      <c r="CJC183" s="141"/>
      <c r="CJD183" s="141"/>
      <c r="CJE183" s="141"/>
      <c r="CJF183" s="141"/>
      <c r="CJG183" s="141"/>
      <c r="CJH183" s="141"/>
      <c r="CJI183" s="141"/>
      <c r="CJJ183" s="141"/>
      <c r="CJK183" s="141"/>
      <c r="CJL183" s="141"/>
      <c r="CJM183" s="141"/>
      <c r="CJN183" s="141"/>
      <c r="CJO183" s="141"/>
      <c r="CJP183" s="141"/>
      <c r="CJQ183" s="141"/>
      <c r="CJR183" s="141"/>
      <c r="CJS183" s="141"/>
      <c r="CJT183" s="141"/>
      <c r="CJU183" s="141"/>
      <c r="CJV183" s="141"/>
      <c r="CJW183" s="141"/>
      <c r="CJX183" s="141"/>
      <c r="CJY183" s="141"/>
      <c r="CJZ183" s="141"/>
      <c r="CKA183" s="141"/>
      <c r="CKB183" s="141"/>
      <c r="CKC183" s="141"/>
      <c r="CKD183" s="141"/>
      <c r="CKE183" s="141"/>
      <c r="CKF183" s="141"/>
      <c r="CKG183" s="141"/>
      <c r="CKH183" s="141"/>
      <c r="CKI183" s="141"/>
      <c r="CKJ183" s="141"/>
      <c r="CKK183" s="141"/>
      <c r="CKL183" s="141"/>
      <c r="CKM183" s="141"/>
      <c r="CKN183" s="141"/>
      <c r="CKO183" s="141"/>
      <c r="CKP183" s="141"/>
      <c r="CKQ183" s="141"/>
      <c r="CKR183" s="141"/>
      <c r="CKS183" s="141"/>
      <c r="CKT183" s="141"/>
      <c r="CKU183" s="141"/>
      <c r="CKV183" s="141"/>
      <c r="CKW183" s="141"/>
      <c r="CKX183" s="141"/>
      <c r="CKY183" s="141"/>
      <c r="CKZ183" s="141"/>
      <c r="CLA183" s="141"/>
      <c r="CLB183" s="141"/>
      <c r="CLC183" s="141"/>
      <c r="CLD183" s="141"/>
      <c r="CLE183" s="141"/>
      <c r="CLF183" s="141"/>
      <c r="CLG183" s="141"/>
      <c r="CLH183" s="141"/>
      <c r="CLI183" s="141"/>
      <c r="CLJ183" s="141"/>
      <c r="CLK183" s="141"/>
      <c r="CLL183" s="141"/>
      <c r="CLM183" s="141"/>
      <c r="CLN183" s="141"/>
      <c r="CLO183" s="141"/>
      <c r="CLP183" s="141"/>
      <c r="CLQ183" s="141"/>
      <c r="CLR183" s="141"/>
      <c r="CLS183" s="141"/>
      <c r="CLT183" s="141"/>
      <c r="CLU183" s="141"/>
      <c r="CLV183" s="141"/>
      <c r="CLW183" s="141"/>
      <c r="CLX183" s="141"/>
      <c r="CLY183" s="141"/>
      <c r="CLZ183" s="141"/>
      <c r="CMA183" s="141"/>
      <c r="CMB183" s="141"/>
      <c r="CMC183" s="141"/>
      <c r="CMD183" s="141"/>
      <c r="CME183" s="141"/>
      <c r="CMF183" s="141"/>
      <c r="CMG183" s="141"/>
      <c r="CMH183" s="141"/>
      <c r="CMI183" s="141"/>
      <c r="CMJ183" s="141"/>
      <c r="CMK183" s="141"/>
      <c r="CML183" s="141"/>
      <c r="CMM183" s="141"/>
      <c r="CMN183" s="141"/>
      <c r="CMO183" s="141"/>
      <c r="CMP183" s="141"/>
      <c r="CMQ183" s="141"/>
      <c r="CMR183" s="141"/>
      <c r="CMS183" s="141"/>
      <c r="CMT183" s="141"/>
      <c r="CMU183" s="141"/>
      <c r="CMV183" s="141"/>
      <c r="CMW183" s="141"/>
      <c r="CMX183" s="141"/>
      <c r="CMY183" s="141"/>
      <c r="CMZ183" s="141"/>
      <c r="CNA183" s="141"/>
      <c r="CNB183" s="141"/>
      <c r="CNC183" s="141"/>
      <c r="CND183" s="141"/>
      <c r="CNE183" s="141"/>
      <c r="CNF183" s="141"/>
      <c r="CNG183" s="141"/>
      <c r="CNH183" s="141"/>
      <c r="CNI183" s="141"/>
      <c r="CNJ183" s="141"/>
      <c r="CNK183" s="141"/>
      <c r="CNL183" s="141"/>
      <c r="CNM183" s="141"/>
      <c r="CNN183" s="141"/>
      <c r="CNO183" s="141"/>
      <c r="CNP183" s="141"/>
      <c r="CNQ183" s="141"/>
      <c r="CNR183" s="141"/>
      <c r="CNS183" s="141"/>
      <c r="CNT183" s="141"/>
      <c r="CNU183" s="141"/>
      <c r="CNV183" s="141"/>
      <c r="CNW183" s="141"/>
      <c r="CNX183" s="141"/>
      <c r="CNY183" s="141"/>
      <c r="CNZ183" s="141"/>
      <c r="COA183" s="141"/>
      <c r="COB183" s="141"/>
      <c r="COC183" s="141"/>
      <c r="COD183" s="141"/>
      <c r="COE183" s="141"/>
      <c r="COF183" s="141"/>
      <c r="COG183" s="141"/>
      <c r="COH183" s="141"/>
      <c r="COI183" s="141"/>
      <c r="COJ183" s="141"/>
      <c r="COK183" s="141"/>
      <c r="COL183" s="141"/>
      <c r="COM183" s="141"/>
      <c r="CON183" s="141"/>
      <c r="COO183" s="141"/>
      <c r="COP183" s="141"/>
      <c r="COQ183" s="141"/>
      <c r="COR183" s="141"/>
      <c r="COS183" s="141"/>
      <c r="COT183" s="141"/>
      <c r="COU183" s="141"/>
      <c r="COV183" s="141"/>
      <c r="COW183" s="141"/>
      <c r="COX183" s="141"/>
      <c r="COY183" s="141"/>
      <c r="COZ183" s="141"/>
      <c r="CPA183" s="141"/>
      <c r="CPB183" s="141"/>
      <c r="CPC183" s="141"/>
      <c r="CPD183" s="141"/>
      <c r="CPE183" s="141"/>
      <c r="CPF183" s="141"/>
      <c r="CPG183" s="141"/>
      <c r="CPH183" s="141"/>
      <c r="CPI183" s="141"/>
      <c r="CPJ183" s="141"/>
      <c r="CPK183" s="141"/>
      <c r="CPL183" s="141"/>
      <c r="CPM183" s="141"/>
      <c r="CPN183" s="141"/>
      <c r="CPO183" s="141"/>
      <c r="CPP183" s="141"/>
      <c r="CPQ183" s="141"/>
      <c r="CPR183" s="141"/>
      <c r="CPS183" s="141"/>
      <c r="CPT183" s="141"/>
      <c r="CPU183" s="141"/>
      <c r="CPV183" s="141"/>
      <c r="CPW183" s="141"/>
      <c r="CPX183" s="141"/>
      <c r="CPY183" s="141"/>
      <c r="CPZ183" s="141"/>
      <c r="CQA183" s="141"/>
      <c r="CQB183" s="141"/>
      <c r="CQC183" s="141"/>
      <c r="CQD183" s="141"/>
      <c r="CQE183" s="141"/>
      <c r="CQF183" s="141"/>
      <c r="CQG183" s="141"/>
      <c r="CQH183" s="141"/>
      <c r="CQI183" s="141"/>
      <c r="CQJ183" s="141"/>
      <c r="CQK183" s="141"/>
      <c r="CQL183" s="141"/>
      <c r="CQM183" s="141"/>
      <c r="CQN183" s="141"/>
      <c r="CQO183" s="141"/>
      <c r="CQP183" s="141"/>
      <c r="CQQ183" s="141"/>
      <c r="CQR183" s="141"/>
      <c r="CQS183" s="141"/>
      <c r="CQT183" s="141"/>
      <c r="CQU183" s="141"/>
      <c r="CQV183" s="141"/>
      <c r="CQW183" s="141"/>
      <c r="CQX183" s="141"/>
      <c r="CQY183" s="141"/>
      <c r="CQZ183" s="141"/>
      <c r="CRA183" s="141"/>
      <c r="CRB183" s="141"/>
      <c r="CRC183" s="141"/>
      <c r="CRD183" s="141"/>
      <c r="CRE183" s="141"/>
      <c r="CRF183" s="141"/>
      <c r="CRG183" s="141"/>
      <c r="CRH183" s="141"/>
      <c r="CRI183" s="141"/>
      <c r="CRJ183" s="141"/>
      <c r="CRK183" s="141"/>
      <c r="CRL183" s="141"/>
      <c r="CRM183" s="141"/>
      <c r="CRN183" s="141"/>
      <c r="CRO183" s="141"/>
      <c r="CRP183" s="141"/>
      <c r="CRQ183" s="141"/>
      <c r="CRR183" s="141"/>
      <c r="CRS183" s="141"/>
      <c r="CRT183" s="141"/>
      <c r="CRU183" s="141"/>
      <c r="CRV183" s="141"/>
      <c r="CRW183" s="141"/>
      <c r="CRX183" s="141"/>
      <c r="CRY183" s="141"/>
      <c r="CRZ183" s="141"/>
      <c r="CSA183" s="141"/>
      <c r="CSB183" s="141"/>
      <c r="CSC183" s="141"/>
      <c r="CSD183" s="141"/>
      <c r="CSE183" s="141"/>
      <c r="CSF183" s="141"/>
      <c r="CSG183" s="141"/>
      <c r="CSH183" s="141"/>
      <c r="CSI183" s="141"/>
      <c r="CSJ183" s="141"/>
      <c r="CSK183" s="141"/>
      <c r="CSL183" s="141"/>
      <c r="CSM183" s="141"/>
      <c r="CSN183" s="141"/>
      <c r="CSO183" s="141"/>
      <c r="CSP183" s="141"/>
      <c r="CSQ183" s="141"/>
      <c r="CSR183" s="141"/>
      <c r="CSS183" s="141"/>
      <c r="CST183" s="141"/>
      <c r="CSU183" s="141"/>
      <c r="CSV183" s="141"/>
      <c r="CSW183" s="141"/>
      <c r="CSX183" s="141"/>
      <c r="CSY183" s="141"/>
      <c r="CSZ183" s="141"/>
      <c r="CTA183" s="141"/>
      <c r="CTB183" s="141"/>
      <c r="CTC183" s="141"/>
      <c r="CTD183" s="141"/>
      <c r="CTE183" s="141"/>
      <c r="CTF183" s="141"/>
      <c r="CTG183" s="141"/>
      <c r="CTH183" s="141"/>
      <c r="CTI183" s="141"/>
      <c r="CTJ183" s="141"/>
      <c r="CTK183" s="141"/>
      <c r="CTL183" s="141"/>
      <c r="CTM183" s="141"/>
      <c r="CTN183" s="141"/>
      <c r="CTO183" s="141"/>
      <c r="CTP183" s="141"/>
      <c r="CTQ183" s="141"/>
      <c r="CTR183" s="141"/>
      <c r="CTS183" s="141"/>
      <c r="CTT183" s="141"/>
      <c r="CTU183" s="141"/>
      <c r="CTV183" s="141"/>
      <c r="CTW183" s="141"/>
      <c r="CTX183" s="141"/>
      <c r="CTY183" s="141"/>
      <c r="CTZ183" s="141"/>
      <c r="CUA183" s="141"/>
      <c r="CUB183" s="141"/>
      <c r="CUC183" s="141"/>
      <c r="CUD183" s="141"/>
      <c r="CUE183" s="141"/>
      <c r="CUF183" s="141"/>
      <c r="CUG183" s="141"/>
      <c r="CUH183" s="141"/>
      <c r="CUI183" s="141"/>
      <c r="CUJ183" s="141"/>
      <c r="CUK183" s="141"/>
      <c r="CUL183" s="141"/>
      <c r="CUM183" s="141"/>
      <c r="CUN183" s="141"/>
      <c r="CUO183" s="141"/>
      <c r="CUP183" s="141"/>
      <c r="CUQ183" s="141"/>
      <c r="CUR183" s="141"/>
      <c r="CUS183" s="141"/>
      <c r="CUT183" s="141"/>
      <c r="CUU183" s="141"/>
      <c r="CUV183" s="141"/>
      <c r="CUW183" s="141"/>
      <c r="CUX183" s="141"/>
      <c r="CUY183" s="141"/>
      <c r="CUZ183" s="141"/>
      <c r="CVA183" s="141"/>
      <c r="CVB183" s="141"/>
      <c r="CVC183" s="141"/>
      <c r="CVD183" s="141"/>
      <c r="CVE183" s="141"/>
      <c r="CVF183" s="141"/>
      <c r="CVG183" s="141"/>
      <c r="CVH183" s="141"/>
      <c r="CVI183" s="141"/>
      <c r="CVJ183" s="141"/>
      <c r="CVK183" s="141"/>
      <c r="CVL183" s="141"/>
      <c r="CVM183" s="141"/>
      <c r="CVN183" s="141"/>
      <c r="CVO183" s="141"/>
      <c r="CVP183" s="141"/>
      <c r="CVQ183" s="141"/>
      <c r="CVR183" s="141"/>
      <c r="CVS183" s="141"/>
      <c r="CVT183" s="141"/>
      <c r="CVU183" s="141"/>
      <c r="CVV183" s="141"/>
      <c r="CVW183" s="141"/>
      <c r="CVX183" s="141"/>
      <c r="CVY183" s="141"/>
      <c r="CVZ183" s="141"/>
      <c r="CWA183" s="141"/>
      <c r="CWB183" s="141"/>
      <c r="CWC183" s="141"/>
      <c r="CWD183" s="141"/>
      <c r="CWE183" s="141"/>
      <c r="CWF183" s="141"/>
      <c r="CWG183" s="141"/>
      <c r="CWH183" s="141"/>
      <c r="CWI183" s="141"/>
      <c r="CWJ183" s="141"/>
      <c r="CWK183" s="141"/>
      <c r="CWL183" s="141"/>
      <c r="CWM183" s="141"/>
      <c r="CWN183" s="141"/>
      <c r="CWO183" s="141"/>
      <c r="CWP183" s="141"/>
      <c r="CWQ183" s="141"/>
      <c r="CWR183" s="141"/>
      <c r="CWS183" s="141"/>
      <c r="CWT183" s="141"/>
      <c r="CWU183" s="141"/>
      <c r="CWV183" s="141"/>
      <c r="CWW183" s="141"/>
      <c r="CWX183" s="141"/>
      <c r="CWY183" s="141"/>
      <c r="CWZ183" s="141"/>
      <c r="CXA183" s="141"/>
      <c r="CXB183" s="141"/>
      <c r="CXC183" s="141"/>
      <c r="CXD183" s="141"/>
      <c r="CXE183" s="141"/>
      <c r="CXF183" s="141"/>
      <c r="CXG183" s="141"/>
      <c r="CXH183" s="141"/>
      <c r="CXI183" s="141"/>
      <c r="CXJ183" s="141"/>
      <c r="CXK183" s="141"/>
      <c r="CXL183" s="141"/>
      <c r="CXM183" s="141"/>
      <c r="CXN183" s="141"/>
      <c r="CXO183" s="141"/>
      <c r="CXP183" s="141"/>
      <c r="CXQ183" s="141"/>
      <c r="CXR183" s="141"/>
      <c r="CXS183" s="141"/>
      <c r="CXT183" s="141"/>
      <c r="CXU183" s="141"/>
      <c r="CXV183" s="141"/>
      <c r="CXW183" s="141"/>
      <c r="CXX183" s="141"/>
      <c r="CXY183" s="141"/>
      <c r="CXZ183" s="141"/>
      <c r="CYA183" s="141"/>
      <c r="CYB183" s="141"/>
      <c r="CYC183" s="141"/>
      <c r="CYD183" s="141"/>
      <c r="CYE183" s="141"/>
      <c r="CYF183" s="141"/>
      <c r="CYG183" s="141"/>
      <c r="CYH183" s="141"/>
      <c r="CYI183" s="141"/>
      <c r="CYJ183" s="141"/>
      <c r="CYK183" s="141"/>
      <c r="CYL183" s="141"/>
      <c r="CYM183" s="141"/>
      <c r="CYN183" s="141"/>
      <c r="CYO183" s="141"/>
      <c r="CYP183" s="141"/>
      <c r="CYQ183" s="141"/>
      <c r="CYR183" s="141"/>
      <c r="CYS183" s="141"/>
      <c r="CYT183" s="141"/>
      <c r="CYU183" s="141"/>
      <c r="CYV183" s="141"/>
      <c r="CYW183" s="141"/>
      <c r="CYX183" s="141"/>
      <c r="CYY183" s="141"/>
      <c r="CYZ183" s="141"/>
      <c r="CZA183" s="141"/>
      <c r="CZB183" s="141"/>
      <c r="CZC183" s="141"/>
      <c r="CZD183" s="141"/>
      <c r="CZE183" s="141"/>
      <c r="CZF183" s="141"/>
      <c r="CZG183" s="141"/>
      <c r="CZH183" s="141"/>
      <c r="CZI183" s="141"/>
      <c r="CZJ183" s="141"/>
      <c r="CZK183" s="141"/>
      <c r="CZL183" s="141"/>
      <c r="CZM183" s="141"/>
      <c r="CZN183" s="141"/>
      <c r="CZO183" s="141"/>
      <c r="CZP183" s="141"/>
      <c r="CZQ183" s="141"/>
      <c r="CZR183" s="141"/>
      <c r="CZS183" s="141"/>
      <c r="CZT183" s="141"/>
      <c r="CZU183" s="141"/>
      <c r="CZV183" s="141"/>
      <c r="CZW183" s="141"/>
      <c r="CZX183" s="141"/>
      <c r="CZY183" s="141"/>
      <c r="CZZ183" s="141"/>
      <c r="DAA183" s="141"/>
      <c r="DAB183" s="141"/>
      <c r="DAC183" s="141"/>
      <c r="DAD183" s="141"/>
      <c r="DAE183" s="141"/>
      <c r="DAF183" s="141"/>
      <c r="DAG183" s="141"/>
      <c r="DAH183" s="141"/>
      <c r="DAI183" s="141"/>
      <c r="DAJ183" s="141"/>
      <c r="DAK183" s="141"/>
      <c r="DAL183" s="141"/>
      <c r="DAM183" s="141"/>
      <c r="DAN183" s="141"/>
      <c r="DAO183" s="141"/>
      <c r="DAP183" s="141"/>
      <c r="DAQ183" s="141"/>
      <c r="DAR183" s="141"/>
      <c r="DAS183" s="141"/>
      <c r="DAT183" s="141"/>
      <c r="DAU183" s="141"/>
      <c r="DAV183" s="141"/>
      <c r="DAW183" s="141"/>
      <c r="DAX183" s="141"/>
      <c r="DAY183" s="141"/>
      <c r="DAZ183" s="141"/>
      <c r="DBA183" s="141"/>
      <c r="DBB183" s="141"/>
      <c r="DBC183" s="141"/>
      <c r="DBD183" s="141"/>
      <c r="DBE183" s="141"/>
      <c r="DBF183" s="141"/>
      <c r="DBG183" s="141"/>
      <c r="DBH183" s="141"/>
      <c r="DBI183" s="141"/>
      <c r="DBJ183" s="141"/>
      <c r="DBK183" s="141"/>
      <c r="DBL183" s="141"/>
      <c r="DBM183" s="141"/>
      <c r="DBN183" s="141"/>
      <c r="DBO183" s="141"/>
      <c r="DBP183" s="141"/>
      <c r="DBQ183" s="141"/>
      <c r="DBR183" s="141"/>
      <c r="DBS183" s="141"/>
      <c r="DBT183" s="141"/>
      <c r="DBU183" s="141"/>
      <c r="DBV183" s="141"/>
      <c r="DBW183" s="141"/>
      <c r="DBX183" s="141"/>
      <c r="DBY183" s="141"/>
      <c r="DBZ183" s="141"/>
      <c r="DCA183" s="141"/>
      <c r="DCB183" s="141"/>
      <c r="DCC183" s="141"/>
      <c r="DCD183" s="141"/>
      <c r="DCE183" s="141"/>
      <c r="DCF183" s="141"/>
      <c r="DCG183" s="141"/>
      <c r="DCH183" s="141"/>
      <c r="DCI183" s="141"/>
      <c r="DCJ183" s="141"/>
      <c r="DCK183" s="141"/>
      <c r="DCL183" s="141"/>
      <c r="DCM183" s="141"/>
      <c r="DCN183" s="141"/>
      <c r="DCO183" s="141"/>
      <c r="DCP183" s="141"/>
      <c r="DCQ183" s="141"/>
      <c r="DCR183" s="141"/>
      <c r="DCS183" s="141"/>
      <c r="DCT183" s="141"/>
      <c r="DCU183" s="141"/>
      <c r="DCV183" s="141"/>
      <c r="DCW183" s="141"/>
      <c r="DCX183" s="141"/>
      <c r="DCY183" s="141"/>
      <c r="DCZ183" s="141"/>
      <c r="DDA183" s="141"/>
      <c r="DDB183" s="141"/>
      <c r="DDC183" s="141"/>
      <c r="DDD183" s="141"/>
      <c r="DDE183" s="141"/>
      <c r="DDF183" s="141"/>
      <c r="DDG183" s="141"/>
      <c r="DDH183" s="141"/>
      <c r="DDI183" s="141"/>
      <c r="DDJ183" s="141"/>
      <c r="DDK183" s="141"/>
      <c r="DDL183" s="141"/>
      <c r="DDM183" s="141"/>
      <c r="DDN183" s="141"/>
      <c r="DDO183" s="141"/>
      <c r="DDP183" s="141"/>
      <c r="DDQ183" s="141"/>
      <c r="DDR183" s="141"/>
      <c r="DDS183" s="141"/>
      <c r="DDT183" s="141"/>
      <c r="DDU183" s="141"/>
      <c r="DDV183" s="141"/>
      <c r="DDW183" s="141"/>
      <c r="DDX183" s="141"/>
      <c r="DDY183" s="141"/>
      <c r="DDZ183" s="141"/>
      <c r="DEA183" s="141"/>
      <c r="DEB183" s="141"/>
      <c r="DEC183" s="141"/>
      <c r="DED183" s="141"/>
      <c r="DEE183" s="141"/>
      <c r="DEF183" s="141"/>
      <c r="DEG183" s="141"/>
      <c r="DEH183" s="141"/>
      <c r="DEI183" s="141"/>
      <c r="DEJ183" s="141"/>
      <c r="DEK183" s="141"/>
      <c r="DEL183" s="141"/>
      <c r="DEM183" s="141"/>
      <c r="DEN183" s="141"/>
      <c r="DEO183" s="141"/>
      <c r="DEP183" s="141"/>
      <c r="DEQ183" s="141"/>
      <c r="DER183" s="141"/>
      <c r="DES183" s="141"/>
      <c r="DET183" s="141"/>
      <c r="DEU183" s="141"/>
      <c r="DEV183" s="141"/>
      <c r="DEW183" s="141"/>
      <c r="DEX183" s="141"/>
      <c r="DEY183" s="141"/>
      <c r="DEZ183" s="141"/>
      <c r="DFA183" s="141"/>
      <c r="DFB183" s="141"/>
      <c r="DFC183" s="141"/>
      <c r="DFD183" s="141"/>
      <c r="DFE183" s="141"/>
      <c r="DFF183" s="141"/>
      <c r="DFG183" s="141"/>
      <c r="DFH183" s="141"/>
      <c r="DFI183" s="141"/>
      <c r="DFJ183" s="141"/>
      <c r="DFK183" s="141"/>
      <c r="DFL183" s="141"/>
      <c r="DFM183" s="141"/>
      <c r="DFN183" s="141"/>
      <c r="DFO183" s="141"/>
      <c r="DFP183" s="141"/>
      <c r="DFQ183" s="141"/>
      <c r="DFR183" s="141"/>
      <c r="DFS183" s="141"/>
      <c r="DFT183" s="141"/>
      <c r="DFU183" s="141"/>
      <c r="DFV183" s="141"/>
      <c r="DFW183" s="141"/>
      <c r="DFX183" s="141"/>
      <c r="DFY183" s="141"/>
      <c r="DFZ183" s="141"/>
      <c r="DGA183" s="141"/>
      <c r="DGB183" s="141"/>
      <c r="DGC183" s="141"/>
      <c r="DGD183" s="141"/>
      <c r="DGE183" s="141"/>
      <c r="DGF183" s="141"/>
      <c r="DGG183" s="141"/>
      <c r="DGH183" s="141"/>
      <c r="DGI183" s="141"/>
      <c r="DGJ183" s="141"/>
      <c r="DGK183" s="141"/>
      <c r="DGL183" s="141"/>
      <c r="DGM183" s="141"/>
      <c r="DGN183" s="141"/>
      <c r="DGO183" s="141"/>
      <c r="DGP183" s="141"/>
      <c r="DGQ183" s="141"/>
      <c r="DGR183" s="141"/>
      <c r="DGS183" s="141"/>
      <c r="DGT183" s="141"/>
      <c r="DGU183" s="141"/>
      <c r="DGV183" s="141"/>
      <c r="DGW183" s="141"/>
      <c r="DGX183" s="141"/>
      <c r="DGY183" s="141"/>
      <c r="DGZ183" s="141"/>
      <c r="DHA183" s="141"/>
      <c r="DHB183" s="141"/>
      <c r="DHC183" s="141"/>
      <c r="DHD183" s="141"/>
      <c r="DHE183" s="141"/>
      <c r="DHF183" s="141"/>
      <c r="DHG183" s="141"/>
      <c r="DHH183" s="141"/>
      <c r="DHI183" s="141"/>
      <c r="DHJ183" s="141"/>
      <c r="DHK183" s="141"/>
      <c r="DHL183" s="141"/>
      <c r="DHM183" s="141"/>
      <c r="DHN183" s="141"/>
      <c r="DHO183" s="141"/>
      <c r="DHP183" s="141"/>
      <c r="DHQ183" s="141"/>
      <c r="DHR183" s="141"/>
      <c r="DHS183" s="141"/>
      <c r="DHT183" s="141"/>
      <c r="DHU183" s="141"/>
      <c r="DHV183" s="141"/>
      <c r="DHW183" s="141"/>
      <c r="DHX183" s="141"/>
      <c r="DHY183" s="141"/>
      <c r="DHZ183" s="141"/>
      <c r="DIA183" s="141"/>
      <c r="DIB183" s="141"/>
      <c r="DIC183" s="141"/>
      <c r="DID183" s="141"/>
      <c r="DIE183" s="141"/>
      <c r="DIF183" s="141"/>
      <c r="DIG183" s="141"/>
      <c r="DIH183" s="141"/>
      <c r="DII183" s="141"/>
      <c r="DIJ183" s="141"/>
      <c r="DIK183" s="141"/>
      <c r="DIL183" s="141"/>
      <c r="DIM183" s="141"/>
      <c r="DIN183" s="141"/>
      <c r="DIO183" s="141"/>
      <c r="DIP183" s="141"/>
      <c r="DIQ183" s="141"/>
      <c r="DIR183" s="141"/>
      <c r="DIS183" s="141"/>
      <c r="DIT183" s="141"/>
      <c r="DIU183" s="141"/>
      <c r="DIV183" s="141"/>
      <c r="DIW183" s="141"/>
      <c r="DIX183" s="141"/>
      <c r="DIY183" s="141"/>
      <c r="DIZ183" s="141"/>
      <c r="DJA183" s="141"/>
      <c r="DJB183" s="141"/>
      <c r="DJC183" s="141"/>
      <c r="DJD183" s="141"/>
      <c r="DJE183" s="141"/>
      <c r="DJF183" s="141"/>
      <c r="DJG183" s="141"/>
      <c r="DJH183" s="141"/>
      <c r="DJI183" s="141"/>
      <c r="DJJ183" s="141"/>
      <c r="DJK183" s="141"/>
      <c r="DJL183" s="141"/>
      <c r="DJM183" s="141"/>
      <c r="DJN183" s="141"/>
      <c r="DJO183" s="141"/>
      <c r="DJP183" s="141"/>
      <c r="DJQ183" s="141"/>
      <c r="DJR183" s="141"/>
      <c r="DJS183" s="141"/>
      <c r="DJT183" s="141"/>
      <c r="DJU183" s="141"/>
      <c r="DJV183" s="141"/>
      <c r="DJW183" s="141"/>
      <c r="DJX183" s="141"/>
      <c r="DJY183" s="141"/>
      <c r="DJZ183" s="141"/>
      <c r="DKA183" s="141"/>
      <c r="DKB183" s="141"/>
      <c r="DKC183" s="141"/>
      <c r="DKD183" s="141"/>
      <c r="DKE183" s="141"/>
      <c r="DKF183" s="141"/>
      <c r="DKG183" s="141"/>
      <c r="DKH183" s="141"/>
      <c r="DKI183" s="141"/>
      <c r="DKJ183" s="141"/>
      <c r="DKK183" s="141"/>
      <c r="DKL183" s="141"/>
      <c r="DKM183" s="141"/>
      <c r="DKN183" s="141"/>
      <c r="DKO183" s="141"/>
      <c r="DKP183" s="141"/>
      <c r="DKQ183" s="141"/>
      <c r="DKR183" s="141"/>
      <c r="DKS183" s="141"/>
      <c r="DKT183" s="141"/>
      <c r="DKU183" s="141"/>
      <c r="DKV183" s="141"/>
      <c r="DKW183" s="141"/>
      <c r="DKX183" s="141"/>
      <c r="DKY183" s="141"/>
      <c r="DKZ183" s="141"/>
      <c r="DLA183" s="141"/>
      <c r="DLB183" s="141"/>
      <c r="DLC183" s="141"/>
      <c r="DLD183" s="141"/>
      <c r="DLE183" s="141"/>
      <c r="DLF183" s="141"/>
      <c r="DLG183" s="141"/>
      <c r="DLH183" s="141"/>
      <c r="DLI183" s="141"/>
      <c r="DLJ183" s="141"/>
      <c r="DLK183" s="141"/>
      <c r="DLL183" s="141"/>
      <c r="DLM183" s="141"/>
      <c r="DLN183" s="141"/>
      <c r="DLO183" s="141"/>
      <c r="DLP183" s="141"/>
      <c r="DLQ183" s="141"/>
      <c r="DLR183" s="141"/>
      <c r="DLS183" s="141"/>
      <c r="DLT183" s="141"/>
      <c r="DLU183" s="141"/>
      <c r="DLV183" s="141"/>
      <c r="DLW183" s="141"/>
      <c r="DLX183" s="141"/>
      <c r="DLY183" s="141"/>
      <c r="DLZ183" s="141"/>
      <c r="DMA183" s="141"/>
      <c r="DMB183" s="141"/>
      <c r="DMC183" s="141"/>
      <c r="DMD183" s="141"/>
      <c r="DME183" s="141"/>
      <c r="DMF183" s="141"/>
      <c r="DMG183" s="141"/>
      <c r="DMH183" s="141"/>
      <c r="DMI183" s="141"/>
      <c r="DMJ183" s="141"/>
      <c r="DMK183" s="141"/>
      <c r="DML183" s="141"/>
      <c r="DMM183" s="141"/>
      <c r="DMN183" s="141"/>
      <c r="DMO183" s="141"/>
      <c r="DMP183" s="141"/>
      <c r="DMQ183" s="141"/>
      <c r="DMR183" s="141"/>
      <c r="DMS183" s="141"/>
      <c r="DMT183" s="141"/>
      <c r="DMU183" s="141"/>
      <c r="DMV183" s="141"/>
      <c r="DMW183" s="141"/>
      <c r="DMX183" s="141"/>
      <c r="DMY183" s="141"/>
      <c r="DMZ183" s="141"/>
      <c r="DNA183" s="141"/>
      <c r="DNB183" s="141"/>
      <c r="DNC183" s="141"/>
      <c r="DND183" s="141"/>
      <c r="DNE183" s="141"/>
      <c r="DNF183" s="141"/>
      <c r="DNG183" s="141"/>
      <c r="DNH183" s="141"/>
      <c r="DNI183" s="141"/>
      <c r="DNJ183" s="141"/>
      <c r="DNK183" s="141"/>
      <c r="DNL183" s="141"/>
      <c r="DNM183" s="141"/>
      <c r="DNN183" s="141"/>
      <c r="DNO183" s="141"/>
      <c r="DNP183" s="141"/>
      <c r="DNQ183" s="141"/>
      <c r="DNR183" s="141"/>
      <c r="DNS183" s="141"/>
      <c r="DNT183" s="141"/>
      <c r="DNU183" s="141"/>
      <c r="DNV183" s="141"/>
      <c r="DNW183" s="141"/>
      <c r="DNX183" s="141"/>
      <c r="DNY183" s="141"/>
      <c r="DNZ183" s="141"/>
      <c r="DOA183" s="141"/>
      <c r="DOB183" s="141"/>
      <c r="DOC183" s="141"/>
      <c r="DOD183" s="141"/>
      <c r="DOE183" s="141"/>
      <c r="DOF183" s="141"/>
      <c r="DOG183" s="141"/>
      <c r="DOH183" s="141"/>
      <c r="DOI183" s="141"/>
      <c r="DOJ183" s="141"/>
      <c r="DOK183" s="141"/>
      <c r="DOL183" s="141"/>
      <c r="DOM183" s="141"/>
      <c r="DON183" s="141"/>
      <c r="DOO183" s="141"/>
      <c r="DOP183" s="141"/>
      <c r="DOQ183" s="141"/>
      <c r="DOR183" s="141"/>
      <c r="DOS183" s="141"/>
      <c r="DOT183" s="141"/>
      <c r="DOU183" s="141"/>
      <c r="DOV183" s="141"/>
      <c r="DOW183" s="141"/>
      <c r="DOX183" s="141"/>
      <c r="DOY183" s="141"/>
      <c r="DOZ183" s="141"/>
      <c r="DPA183" s="141"/>
      <c r="DPB183" s="141"/>
      <c r="DPC183" s="141"/>
      <c r="DPD183" s="141"/>
      <c r="DPE183" s="141"/>
      <c r="DPF183" s="141"/>
      <c r="DPG183" s="141"/>
      <c r="DPH183" s="141"/>
      <c r="DPI183" s="141"/>
      <c r="DPJ183" s="141"/>
      <c r="DPK183" s="141"/>
      <c r="DPL183" s="141"/>
      <c r="DPM183" s="141"/>
      <c r="DPN183" s="141"/>
      <c r="DPO183" s="141"/>
      <c r="DPP183" s="141"/>
      <c r="DPQ183" s="141"/>
      <c r="DPR183" s="141"/>
      <c r="DPS183" s="141"/>
      <c r="DPT183" s="141"/>
      <c r="DPU183" s="141"/>
      <c r="DPV183" s="141"/>
      <c r="DPW183" s="141"/>
      <c r="DPX183" s="141"/>
      <c r="DPY183" s="141"/>
      <c r="DPZ183" s="141"/>
      <c r="DQA183" s="141"/>
      <c r="DQB183" s="141"/>
      <c r="DQC183" s="141"/>
      <c r="DQD183" s="141"/>
      <c r="DQE183" s="141"/>
      <c r="DQF183" s="141"/>
      <c r="DQG183" s="141"/>
      <c r="DQH183" s="141"/>
      <c r="DQI183" s="141"/>
      <c r="DQJ183" s="141"/>
      <c r="DQK183" s="141"/>
      <c r="DQL183" s="141"/>
      <c r="DQM183" s="141"/>
      <c r="DQN183" s="141"/>
      <c r="DQO183" s="141"/>
      <c r="DQP183" s="141"/>
      <c r="DQQ183" s="141"/>
      <c r="DQR183" s="141"/>
      <c r="DQS183" s="141"/>
      <c r="DQT183" s="141"/>
      <c r="DQU183" s="141"/>
      <c r="DQV183" s="141"/>
      <c r="DQW183" s="141"/>
      <c r="DQX183" s="141"/>
      <c r="DQY183" s="141"/>
      <c r="DQZ183" s="141"/>
      <c r="DRA183" s="141"/>
      <c r="DRB183" s="141"/>
      <c r="DRC183" s="141"/>
      <c r="DRD183" s="141"/>
      <c r="DRE183" s="141"/>
      <c r="DRF183" s="141"/>
      <c r="DRG183" s="141"/>
      <c r="DRH183" s="141"/>
      <c r="DRI183" s="141"/>
      <c r="DRJ183" s="141"/>
      <c r="DRK183" s="141"/>
      <c r="DRL183" s="141"/>
      <c r="DRM183" s="141"/>
      <c r="DRN183" s="141"/>
      <c r="DRO183" s="141"/>
      <c r="DRP183" s="141"/>
      <c r="DRQ183" s="141"/>
      <c r="DRR183" s="141"/>
      <c r="DRS183" s="141"/>
      <c r="DRT183" s="141"/>
      <c r="DRU183" s="141"/>
      <c r="DRV183" s="141"/>
      <c r="DRW183" s="141"/>
      <c r="DRX183" s="141"/>
      <c r="DRY183" s="141"/>
      <c r="DRZ183" s="141"/>
      <c r="DSA183" s="141"/>
      <c r="DSB183" s="141"/>
      <c r="DSC183" s="141"/>
      <c r="DSD183" s="141"/>
      <c r="DSE183" s="141"/>
      <c r="DSF183" s="141"/>
      <c r="DSG183" s="141"/>
      <c r="DSH183" s="141"/>
      <c r="DSI183" s="141"/>
      <c r="DSJ183" s="141"/>
      <c r="DSK183" s="141"/>
      <c r="DSL183" s="141"/>
      <c r="DSM183" s="141"/>
      <c r="DSN183" s="141"/>
      <c r="DSO183" s="141"/>
      <c r="DSP183" s="141"/>
      <c r="DSQ183" s="141"/>
      <c r="DSR183" s="141"/>
      <c r="DSS183" s="141"/>
      <c r="DST183" s="141"/>
      <c r="DSU183" s="141"/>
      <c r="DSV183" s="141"/>
      <c r="DSW183" s="141"/>
      <c r="DSX183" s="141"/>
      <c r="DSY183" s="141"/>
      <c r="DSZ183" s="141"/>
      <c r="DTA183" s="141"/>
      <c r="DTB183" s="141"/>
      <c r="DTC183" s="141"/>
      <c r="DTD183" s="141"/>
      <c r="DTE183" s="141"/>
      <c r="DTF183" s="141"/>
      <c r="DTG183" s="141"/>
      <c r="DTH183" s="141"/>
      <c r="DTI183" s="141"/>
      <c r="DTJ183" s="141"/>
      <c r="DTK183" s="141"/>
      <c r="DTL183" s="141"/>
      <c r="DTM183" s="141"/>
      <c r="DTN183" s="141"/>
      <c r="DTO183" s="141"/>
      <c r="DTP183" s="141"/>
      <c r="DTQ183" s="141"/>
      <c r="DTR183" s="141"/>
      <c r="DTS183" s="141"/>
      <c r="DTT183" s="141"/>
      <c r="DTU183" s="141"/>
      <c r="DTV183" s="141"/>
      <c r="DTW183" s="141"/>
      <c r="DTX183" s="141"/>
      <c r="DTY183" s="141"/>
      <c r="DTZ183" s="141"/>
      <c r="DUA183" s="141"/>
      <c r="DUB183" s="141"/>
      <c r="DUC183" s="141"/>
      <c r="DUD183" s="141"/>
      <c r="DUE183" s="141"/>
      <c r="DUF183" s="141"/>
      <c r="DUG183" s="141"/>
      <c r="DUH183" s="141"/>
      <c r="DUI183" s="141"/>
      <c r="DUJ183" s="141"/>
      <c r="DUK183" s="141"/>
      <c r="DUL183" s="141"/>
      <c r="DUM183" s="141"/>
      <c r="DUN183" s="141"/>
      <c r="DUO183" s="141"/>
      <c r="DUP183" s="141"/>
      <c r="DUQ183" s="141"/>
      <c r="DUR183" s="141"/>
      <c r="DUS183" s="141"/>
      <c r="DUT183" s="141"/>
      <c r="DUU183" s="141"/>
      <c r="DUV183" s="141"/>
      <c r="DUW183" s="141"/>
      <c r="DUX183" s="141"/>
      <c r="DUY183" s="141"/>
      <c r="DUZ183" s="141"/>
      <c r="DVA183" s="141"/>
      <c r="DVB183" s="141"/>
      <c r="DVC183" s="141"/>
      <c r="DVD183" s="141"/>
      <c r="DVE183" s="141"/>
      <c r="DVF183" s="141"/>
      <c r="DVG183" s="141"/>
      <c r="DVH183" s="141"/>
      <c r="DVI183" s="141"/>
      <c r="DVJ183" s="141"/>
      <c r="DVK183" s="141"/>
      <c r="DVL183" s="141"/>
      <c r="DVM183" s="141"/>
      <c r="DVN183" s="141"/>
      <c r="DVO183" s="141"/>
      <c r="DVP183" s="141"/>
      <c r="DVQ183" s="141"/>
      <c r="DVR183" s="141"/>
      <c r="DVS183" s="141"/>
      <c r="DVT183" s="141"/>
      <c r="DVU183" s="141"/>
      <c r="DVV183" s="141"/>
      <c r="DVW183" s="141"/>
      <c r="DVX183" s="141"/>
      <c r="DVY183" s="141"/>
      <c r="DVZ183" s="141"/>
      <c r="DWA183" s="141"/>
      <c r="DWB183" s="141"/>
      <c r="DWC183" s="141"/>
      <c r="DWD183" s="141"/>
      <c r="DWE183" s="141"/>
      <c r="DWF183" s="141"/>
      <c r="DWG183" s="141"/>
      <c r="DWH183" s="141"/>
      <c r="DWI183" s="141"/>
      <c r="DWJ183" s="141"/>
      <c r="DWK183" s="141"/>
      <c r="DWL183" s="141"/>
      <c r="DWM183" s="141"/>
      <c r="DWN183" s="141"/>
      <c r="DWO183" s="141"/>
      <c r="DWP183" s="141"/>
      <c r="DWQ183" s="141"/>
      <c r="DWR183" s="141"/>
      <c r="DWS183" s="141"/>
      <c r="DWT183" s="141"/>
      <c r="DWU183" s="141"/>
      <c r="DWV183" s="141"/>
      <c r="DWW183" s="141"/>
      <c r="DWX183" s="141"/>
      <c r="DWY183" s="141"/>
      <c r="DWZ183" s="141"/>
      <c r="DXA183" s="141"/>
      <c r="DXB183" s="141"/>
      <c r="DXC183" s="141"/>
      <c r="DXD183" s="141"/>
      <c r="DXE183" s="141"/>
      <c r="DXF183" s="141"/>
      <c r="DXG183" s="141"/>
      <c r="DXH183" s="141"/>
      <c r="DXI183" s="141"/>
      <c r="DXJ183" s="141"/>
      <c r="DXK183" s="141"/>
      <c r="DXL183" s="141"/>
      <c r="DXM183" s="141"/>
      <c r="DXN183" s="141"/>
      <c r="DXO183" s="141"/>
      <c r="DXP183" s="141"/>
      <c r="DXQ183" s="141"/>
      <c r="DXR183" s="141"/>
      <c r="DXS183" s="141"/>
      <c r="DXT183" s="141"/>
      <c r="DXU183" s="141"/>
      <c r="DXV183" s="141"/>
      <c r="DXW183" s="141"/>
      <c r="DXX183" s="141"/>
      <c r="DXY183" s="141"/>
      <c r="DXZ183" s="141"/>
      <c r="DYA183" s="141"/>
      <c r="DYB183" s="141"/>
      <c r="DYC183" s="141"/>
      <c r="DYD183" s="141"/>
      <c r="DYE183" s="141"/>
      <c r="DYF183" s="141"/>
      <c r="DYG183" s="141"/>
      <c r="DYH183" s="141"/>
      <c r="DYI183" s="141"/>
      <c r="DYJ183" s="141"/>
      <c r="DYK183" s="141"/>
      <c r="DYL183" s="141"/>
      <c r="DYM183" s="141"/>
      <c r="DYN183" s="141"/>
      <c r="DYO183" s="141"/>
      <c r="DYP183" s="141"/>
      <c r="DYQ183" s="141"/>
      <c r="DYR183" s="141"/>
      <c r="DYS183" s="141"/>
      <c r="DYT183" s="141"/>
      <c r="DYU183" s="141"/>
      <c r="DYV183" s="141"/>
      <c r="DYW183" s="141"/>
      <c r="DYX183" s="141"/>
      <c r="DYY183" s="141"/>
      <c r="DYZ183" s="141"/>
      <c r="DZA183" s="141"/>
      <c r="DZB183" s="141"/>
      <c r="DZC183" s="141"/>
      <c r="DZD183" s="141"/>
      <c r="DZE183" s="141"/>
      <c r="DZF183" s="141"/>
      <c r="DZG183" s="141"/>
      <c r="DZH183" s="141"/>
      <c r="DZI183" s="141"/>
      <c r="DZJ183" s="141"/>
      <c r="DZK183" s="141"/>
      <c r="DZL183" s="141"/>
      <c r="DZM183" s="141"/>
      <c r="DZN183" s="141"/>
      <c r="DZO183" s="141"/>
      <c r="DZP183" s="141"/>
      <c r="DZQ183" s="141"/>
      <c r="DZR183" s="141"/>
      <c r="DZS183" s="141"/>
      <c r="DZT183" s="141"/>
      <c r="DZU183" s="141"/>
      <c r="DZV183" s="141"/>
      <c r="DZW183" s="141"/>
      <c r="DZX183" s="141"/>
      <c r="DZY183" s="141"/>
      <c r="DZZ183" s="141"/>
      <c r="EAA183" s="141"/>
      <c r="EAB183" s="141"/>
      <c r="EAC183" s="141"/>
      <c r="EAD183" s="141"/>
      <c r="EAE183" s="141"/>
      <c r="EAF183" s="141"/>
      <c r="EAG183" s="141"/>
      <c r="EAH183" s="141"/>
      <c r="EAI183" s="141"/>
      <c r="EAJ183" s="141"/>
      <c r="EAK183" s="141"/>
      <c r="EAL183" s="141"/>
      <c r="EAM183" s="141"/>
      <c r="EAN183" s="141"/>
      <c r="EAO183" s="141"/>
      <c r="EAP183" s="141"/>
      <c r="EAQ183" s="141"/>
      <c r="EAR183" s="141"/>
      <c r="EAS183" s="141"/>
      <c r="EAT183" s="141"/>
      <c r="EAU183" s="141"/>
      <c r="EAV183" s="141"/>
      <c r="EAW183" s="141"/>
      <c r="EAX183" s="141"/>
      <c r="EAY183" s="141"/>
      <c r="EAZ183" s="141"/>
      <c r="EBA183" s="141"/>
      <c r="EBB183" s="141"/>
      <c r="EBC183" s="141"/>
      <c r="EBD183" s="141"/>
      <c r="EBE183" s="141"/>
      <c r="EBF183" s="141"/>
      <c r="EBG183" s="141"/>
      <c r="EBH183" s="141"/>
      <c r="EBI183" s="141"/>
      <c r="EBJ183" s="141"/>
      <c r="EBK183" s="141"/>
      <c r="EBL183" s="141"/>
      <c r="EBM183" s="141"/>
      <c r="EBN183" s="141"/>
      <c r="EBO183" s="141"/>
      <c r="EBP183" s="141"/>
      <c r="EBQ183" s="141"/>
      <c r="EBR183" s="141"/>
      <c r="EBS183" s="141"/>
      <c r="EBT183" s="141"/>
      <c r="EBU183" s="141"/>
      <c r="EBV183" s="141"/>
      <c r="EBW183" s="141"/>
      <c r="EBX183" s="141"/>
      <c r="EBY183" s="141"/>
      <c r="EBZ183" s="141"/>
      <c r="ECA183" s="141"/>
      <c r="ECB183" s="141"/>
      <c r="ECC183" s="141"/>
      <c r="ECD183" s="141"/>
      <c r="ECE183" s="141"/>
      <c r="ECF183" s="141"/>
      <c r="ECG183" s="141"/>
      <c r="ECH183" s="141"/>
      <c r="ECI183" s="141"/>
      <c r="ECJ183" s="141"/>
      <c r="ECK183" s="141"/>
      <c r="ECL183" s="141"/>
      <c r="ECM183" s="141"/>
      <c r="ECN183" s="141"/>
      <c r="ECO183" s="141"/>
      <c r="ECP183" s="141"/>
      <c r="ECQ183" s="141"/>
      <c r="ECR183" s="141"/>
      <c r="ECS183" s="141"/>
      <c r="ECT183" s="141"/>
      <c r="ECU183" s="141"/>
      <c r="ECV183" s="141"/>
      <c r="ECW183" s="141"/>
      <c r="ECX183" s="141"/>
      <c r="ECY183" s="141"/>
      <c r="ECZ183" s="141"/>
      <c r="EDA183" s="141"/>
      <c r="EDB183" s="141"/>
      <c r="EDC183" s="141"/>
      <c r="EDD183" s="141"/>
      <c r="EDE183" s="141"/>
      <c r="EDF183" s="141"/>
      <c r="EDG183" s="141"/>
      <c r="EDH183" s="141"/>
      <c r="EDI183" s="141"/>
      <c r="EDJ183" s="141"/>
      <c r="EDK183" s="141"/>
      <c r="EDL183" s="141"/>
      <c r="EDM183" s="141"/>
      <c r="EDN183" s="141"/>
      <c r="EDO183" s="141"/>
      <c r="EDP183" s="141"/>
      <c r="EDQ183" s="141"/>
      <c r="EDR183" s="141"/>
      <c r="EDS183" s="141"/>
      <c r="EDT183" s="141"/>
      <c r="EDU183" s="141"/>
      <c r="EDV183" s="141"/>
      <c r="EDW183" s="141"/>
      <c r="EDX183" s="141"/>
      <c r="EDY183" s="141"/>
      <c r="EDZ183" s="141"/>
      <c r="EEA183" s="141"/>
      <c r="EEB183" s="141"/>
      <c r="EEC183" s="141"/>
      <c r="EED183" s="141"/>
      <c r="EEE183" s="141"/>
      <c r="EEF183" s="141"/>
      <c r="EEG183" s="141"/>
      <c r="EEH183" s="141"/>
      <c r="EEI183" s="141"/>
      <c r="EEJ183" s="141"/>
      <c r="EEK183" s="141"/>
      <c r="EEL183" s="141"/>
      <c r="EEM183" s="141"/>
      <c r="EEN183" s="141"/>
      <c r="EEO183" s="141"/>
      <c r="EEP183" s="141"/>
      <c r="EEQ183" s="141"/>
      <c r="EER183" s="141"/>
      <c r="EES183" s="141"/>
      <c r="EET183" s="141"/>
      <c r="EEU183" s="141"/>
      <c r="EEV183" s="141"/>
      <c r="EEW183" s="141"/>
      <c r="EEX183" s="141"/>
      <c r="EEY183" s="141"/>
      <c r="EEZ183" s="141"/>
      <c r="EFA183" s="141"/>
      <c r="EFB183" s="141"/>
      <c r="EFC183" s="141"/>
      <c r="EFD183" s="141"/>
      <c r="EFE183" s="141"/>
      <c r="EFF183" s="141"/>
      <c r="EFG183" s="141"/>
      <c r="EFH183" s="141"/>
      <c r="EFI183" s="141"/>
      <c r="EFJ183" s="141"/>
      <c r="EFK183" s="141"/>
      <c r="EFL183" s="141"/>
      <c r="EFM183" s="141"/>
      <c r="EFN183" s="141"/>
      <c r="EFO183" s="141"/>
      <c r="EFP183" s="141"/>
      <c r="EFQ183" s="141"/>
      <c r="EFR183" s="141"/>
      <c r="EFS183" s="141"/>
      <c r="EFT183" s="141"/>
      <c r="EFU183" s="141"/>
      <c r="EFV183" s="141"/>
      <c r="EFW183" s="141"/>
      <c r="EFX183" s="141"/>
      <c r="EFY183" s="141"/>
      <c r="EFZ183" s="141"/>
      <c r="EGA183" s="141"/>
      <c r="EGB183" s="141"/>
      <c r="EGC183" s="141"/>
      <c r="EGD183" s="141"/>
      <c r="EGE183" s="141"/>
      <c r="EGF183" s="141"/>
      <c r="EGG183" s="141"/>
      <c r="EGH183" s="141"/>
      <c r="EGI183" s="141"/>
      <c r="EGJ183" s="141"/>
      <c r="EGK183" s="141"/>
      <c r="EGL183" s="141"/>
      <c r="EGM183" s="141"/>
      <c r="EGN183" s="141"/>
      <c r="EGO183" s="141"/>
      <c r="EGP183" s="141"/>
      <c r="EGQ183" s="141"/>
      <c r="EGR183" s="141"/>
      <c r="EGS183" s="141"/>
      <c r="EGT183" s="141"/>
      <c r="EGU183" s="141"/>
      <c r="EGV183" s="141"/>
      <c r="EGW183" s="141"/>
      <c r="EGX183" s="141"/>
      <c r="EGY183" s="141"/>
      <c r="EGZ183" s="141"/>
      <c r="EHA183" s="141"/>
      <c r="EHB183" s="141"/>
      <c r="EHC183" s="141"/>
      <c r="EHD183" s="141"/>
      <c r="EHE183" s="141"/>
      <c r="EHF183" s="141"/>
      <c r="EHG183" s="141"/>
      <c r="EHH183" s="141"/>
      <c r="EHI183" s="141"/>
      <c r="EHJ183" s="141"/>
      <c r="EHK183" s="141"/>
      <c r="EHL183" s="141"/>
      <c r="EHM183" s="141"/>
      <c r="EHN183" s="141"/>
      <c r="EHO183" s="141"/>
      <c r="EHP183" s="141"/>
      <c r="EHQ183" s="141"/>
      <c r="EHR183" s="141"/>
      <c r="EHS183" s="141"/>
      <c r="EHT183" s="141"/>
      <c r="EHU183" s="141"/>
      <c r="EHV183" s="141"/>
      <c r="EHW183" s="141"/>
      <c r="EHX183" s="141"/>
      <c r="EHY183" s="141"/>
      <c r="EHZ183" s="141"/>
      <c r="EIA183" s="141"/>
      <c r="EIB183" s="141"/>
      <c r="EIC183" s="141"/>
      <c r="EID183" s="141"/>
      <c r="EIE183" s="141"/>
      <c r="EIF183" s="141"/>
      <c r="EIG183" s="141"/>
      <c r="EIH183" s="141"/>
      <c r="EII183" s="141"/>
      <c r="EIJ183" s="141"/>
      <c r="EIK183" s="141"/>
      <c r="EIL183" s="141"/>
      <c r="EIM183" s="141"/>
      <c r="EIN183" s="141"/>
      <c r="EIO183" s="141"/>
      <c r="EIP183" s="141"/>
      <c r="EIQ183" s="141"/>
      <c r="EIR183" s="141"/>
      <c r="EIS183" s="141"/>
      <c r="EIT183" s="141"/>
      <c r="EIU183" s="141"/>
      <c r="EIV183" s="141"/>
      <c r="EIW183" s="141"/>
      <c r="EIX183" s="141"/>
      <c r="EIY183" s="141"/>
      <c r="EIZ183" s="141"/>
      <c r="EJA183" s="141"/>
      <c r="EJB183" s="141"/>
      <c r="EJC183" s="141"/>
      <c r="EJD183" s="141"/>
      <c r="EJE183" s="141"/>
      <c r="EJF183" s="141"/>
      <c r="EJG183" s="141"/>
      <c r="EJH183" s="141"/>
      <c r="EJI183" s="141"/>
      <c r="EJJ183" s="141"/>
      <c r="EJK183" s="141"/>
      <c r="EJL183" s="141"/>
      <c r="EJM183" s="141"/>
      <c r="EJN183" s="141"/>
      <c r="EJO183" s="141"/>
      <c r="EJP183" s="141"/>
      <c r="EJQ183" s="141"/>
      <c r="EJR183" s="141"/>
      <c r="EJS183" s="141"/>
      <c r="EJT183" s="141"/>
      <c r="EJU183" s="141"/>
      <c r="EJV183" s="141"/>
      <c r="EJW183" s="141"/>
      <c r="EJX183" s="141"/>
      <c r="EJY183" s="141"/>
      <c r="EJZ183" s="141"/>
      <c r="EKA183" s="141"/>
      <c r="EKB183" s="141"/>
      <c r="EKC183" s="141"/>
      <c r="EKD183" s="141"/>
      <c r="EKE183" s="141"/>
      <c r="EKF183" s="141"/>
      <c r="EKG183" s="141"/>
      <c r="EKH183" s="141"/>
      <c r="EKI183" s="141"/>
      <c r="EKJ183" s="141"/>
      <c r="EKK183" s="141"/>
      <c r="EKL183" s="141"/>
      <c r="EKM183" s="141"/>
      <c r="EKN183" s="141"/>
      <c r="EKO183" s="141"/>
      <c r="EKP183" s="141"/>
      <c r="EKQ183" s="141"/>
      <c r="EKR183" s="141"/>
      <c r="EKS183" s="141"/>
      <c r="EKT183" s="141"/>
      <c r="EKU183" s="141"/>
      <c r="EKV183" s="141"/>
      <c r="EKW183" s="141"/>
      <c r="EKX183" s="141"/>
      <c r="EKY183" s="141"/>
      <c r="EKZ183" s="141"/>
      <c r="ELA183" s="141"/>
      <c r="ELB183" s="141"/>
      <c r="ELC183" s="141"/>
      <c r="ELD183" s="141"/>
      <c r="ELE183" s="141"/>
      <c r="ELF183" s="141"/>
      <c r="ELG183" s="141"/>
      <c r="ELH183" s="141"/>
      <c r="ELI183" s="141"/>
      <c r="ELJ183" s="141"/>
      <c r="ELK183" s="141"/>
      <c r="ELL183" s="141"/>
      <c r="ELM183" s="141"/>
      <c r="ELN183" s="141"/>
      <c r="ELO183" s="141"/>
      <c r="ELP183" s="141"/>
      <c r="ELQ183" s="141"/>
      <c r="ELR183" s="141"/>
      <c r="ELS183" s="141"/>
      <c r="ELT183" s="141"/>
      <c r="ELU183" s="141"/>
      <c r="ELV183" s="141"/>
      <c r="ELW183" s="141"/>
      <c r="ELX183" s="141"/>
      <c r="ELY183" s="141"/>
      <c r="ELZ183" s="141"/>
      <c r="EMA183" s="141"/>
      <c r="EMB183" s="141"/>
      <c r="EMC183" s="141"/>
      <c r="EMD183" s="141"/>
      <c r="EME183" s="141"/>
      <c r="EMF183" s="141"/>
      <c r="EMG183" s="141"/>
      <c r="EMH183" s="141"/>
      <c r="EMI183" s="141"/>
      <c r="EMJ183" s="141"/>
      <c r="EMK183" s="141"/>
      <c r="EML183" s="141"/>
      <c r="EMM183" s="141"/>
      <c r="EMN183" s="141"/>
      <c r="EMO183" s="141"/>
      <c r="EMP183" s="141"/>
      <c r="EMQ183" s="141"/>
      <c r="EMR183" s="141"/>
      <c r="EMS183" s="141"/>
      <c r="EMT183" s="141"/>
      <c r="EMU183" s="141"/>
      <c r="EMV183" s="141"/>
      <c r="EMW183" s="141"/>
      <c r="EMX183" s="141"/>
      <c r="EMY183" s="141"/>
      <c r="EMZ183" s="141"/>
      <c r="ENA183" s="141"/>
      <c r="ENB183" s="141"/>
      <c r="ENC183" s="141"/>
      <c r="END183" s="141"/>
      <c r="ENE183" s="141"/>
      <c r="ENF183" s="141"/>
      <c r="ENG183" s="141"/>
      <c r="ENH183" s="141"/>
      <c r="ENI183" s="141"/>
      <c r="ENJ183" s="141"/>
      <c r="ENK183" s="141"/>
      <c r="ENL183" s="141"/>
      <c r="ENM183" s="141"/>
      <c r="ENN183" s="141"/>
      <c r="ENO183" s="141"/>
      <c r="ENP183" s="141"/>
      <c r="ENQ183" s="141"/>
      <c r="ENR183" s="141"/>
      <c r="ENS183" s="141"/>
      <c r="ENT183" s="141"/>
      <c r="ENU183" s="141"/>
      <c r="ENV183" s="141"/>
      <c r="ENW183" s="141"/>
      <c r="ENX183" s="141"/>
      <c r="ENY183" s="141"/>
      <c r="ENZ183" s="141"/>
      <c r="EOA183" s="141"/>
      <c r="EOB183" s="141"/>
      <c r="EOC183" s="141"/>
      <c r="EOD183" s="141"/>
      <c r="EOE183" s="141"/>
      <c r="EOF183" s="141"/>
      <c r="EOG183" s="141"/>
      <c r="EOH183" s="141"/>
      <c r="EOI183" s="141"/>
      <c r="EOJ183" s="141"/>
      <c r="EOK183" s="141"/>
      <c r="EOL183" s="141"/>
      <c r="EOM183" s="141"/>
      <c r="EON183" s="141"/>
      <c r="EOO183" s="141"/>
      <c r="EOP183" s="141"/>
      <c r="EOQ183" s="141"/>
      <c r="EOR183" s="141"/>
      <c r="EOS183" s="141"/>
      <c r="EOT183" s="141"/>
      <c r="EOU183" s="141"/>
      <c r="EOV183" s="141"/>
      <c r="EOW183" s="141"/>
      <c r="EOX183" s="141"/>
      <c r="EOY183" s="141"/>
      <c r="EOZ183" s="141"/>
      <c r="EPA183" s="141"/>
      <c r="EPB183" s="141"/>
      <c r="EPC183" s="141"/>
      <c r="EPD183" s="141"/>
      <c r="EPE183" s="141"/>
      <c r="EPF183" s="141"/>
      <c r="EPG183" s="141"/>
      <c r="EPH183" s="141"/>
      <c r="EPI183" s="141"/>
      <c r="EPJ183" s="141"/>
      <c r="EPK183" s="141"/>
      <c r="EPL183" s="141"/>
      <c r="EPM183" s="141"/>
      <c r="EPN183" s="141"/>
      <c r="EPO183" s="141"/>
      <c r="EPP183" s="141"/>
      <c r="EPQ183" s="141"/>
      <c r="EPR183" s="141"/>
      <c r="EPS183" s="141"/>
      <c r="EPT183" s="141"/>
      <c r="EPU183" s="141"/>
      <c r="EPV183" s="141"/>
      <c r="EPW183" s="141"/>
      <c r="EPX183" s="141"/>
      <c r="EPY183" s="141"/>
      <c r="EPZ183" s="141"/>
      <c r="EQA183" s="141"/>
      <c r="EQB183" s="141"/>
      <c r="EQC183" s="141"/>
      <c r="EQD183" s="141"/>
      <c r="EQE183" s="141"/>
      <c r="EQF183" s="141"/>
      <c r="EQG183" s="141"/>
      <c r="EQH183" s="141"/>
      <c r="EQI183" s="141"/>
      <c r="EQJ183" s="141"/>
      <c r="EQK183" s="141"/>
      <c r="EQL183" s="141"/>
      <c r="EQM183" s="141"/>
      <c r="EQN183" s="141"/>
      <c r="EQO183" s="141"/>
      <c r="EQP183" s="141"/>
      <c r="EQQ183" s="141"/>
      <c r="EQR183" s="141"/>
      <c r="EQS183" s="141"/>
      <c r="EQT183" s="141"/>
      <c r="EQU183" s="141"/>
      <c r="EQV183" s="141"/>
      <c r="EQW183" s="141"/>
      <c r="EQX183" s="141"/>
      <c r="EQY183" s="141"/>
      <c r="EQZ183" s="141"/>
      <c r="ERA183" s="141"/>
      <c r="ERB183" s="141"/>
      <c r="ERC183" s="141"/>
      <c r="ERD183" s="141"/>
      <c r="ERE183" s="141"/>
      <c r="ERF183" s="141"/>
      <c r="ERG183" s="141"/>
      <c r="ERH183" s="141"/>
      <c r="ERI183" s="141"/>
      <c r="ERJ183" s="141"/>
      <c r="ERK183" s="141"/>
      <c r="ERL183" s="141"/>
      <c r="ERM183" s="141"/>
      <c r="ERN183" s="141"/>
      <c r="ERO183" s="141"/>
      <c r="ERP183" s="141"/>
      <c r="ERQ183" s="141"/>
      <c r="ERR183" s="141"/>
      <c r="ERS183" s="141"/>
      <c r="ERT183" s="141"/>
      <c r="ERU183" s="141"/>
      <c r="ERV183" s="141"/>
      <c r="ERW183" s="141"/>
      <c r="ERX183" s="141"/>
      <c r="ERY183" s="141"/>
      <c r="ERZ183" s="141"/>
      <c r="ESA183" s="141"/>
      <c r="ESB183" s="141"/>
      <c r="ESC183" s="141"/>
      <c r="ESD183" s="141"/>
      <c r="ESE183" s="141"/>
      <c r="ESF183" s="141"/>
      <c r="ESG183" s="141"/>
      <c r="ESH183" s="141"/>
      <c r="ESI183" s="141"/>
      <c r="ESJ183" s="141"/>
      <c r="ESK183" s="141"/>
      <c r="ESL183" s="141"/>
      <c r="ESM183" s="141"/>
      <c r="ESN183" s="141"/>
      <c r="ESO183" s="141"/>
      <c r="ESP183" s="141"/>
      <c r="ESQ183" s="141"/>
      <c r="ESR183" s="141"/>
      <c r="ESS183" s="141"/>
      <c r="EST183" s="141"/>
      <c r="ESU183" s="141"/>
      <c r="ESV183" s="141"/>
      <c r="ESW183" s="141"/>
      <c r="ESX183" s="141"/>
      <c r="ESY183" s="141"/>
      <c r="ESZ183" s="141"/>
      <c r="ETA183" s="141"/>
      <c r="ETB183" s="141"/>
      <c r="ETC183" s="141"/>
      <c r="ETD183" s="141"/>
      <c r="ETE183" s="141"/>
      <c r="ETF183" s="141"/>
      <c r="ETG183" s="141"/>
      <c r="ETH183" s="141"/>
      <c r="ETI183" s="141"/>
      <c r="ETJ183" s="141"/>
      <c r="ETK183" s="141"/>
      <c r="ETL183" s="141"/>
      <c r="ETM183" s="141"/>
      <c r="ETN183" s="141"/>
      <c r="ETO183" s="141"/>
      <c r="ETP183" s="141"/>
      <c r="ETQ183" s="141"/>
      <c r="ETR183" s="141"/>
      <c r="ETS183" s="141"/>
      <c r="ETT183" s="141"/>
      <c r="ETU183" s="141"/>
      <c r="ETV183" s="141"/>
      <c r="ETW183" s="141"/>
      <c r="ETX183" s="141"/>
      <c r="ETY183" s="141"/>
      <c r="ETZ183" s="141"/>
      <c r="EUA183" s="141"/>
      <c r="EUB183" s="141"/>
      <c r="EUC183" s="141"/>
      <c r="EUD183" s="141"/>
      <c r="EUE183" s="141"/>
      <c r="EUF183" s="141"/>
      <c r="EUG183" s="141"/>
      <c r="EUH183" s="141"/>
      <c r="EUI183" s="141"/>
      <c r="EUJ183" s="141"/>
      <c r="EUK183" s="141"/>
      <c r="EUL183" s="141"/>
      <c r="EUM183" s="141"/>
      <c r="EUN183" s="141"/>
      <c r="EUO183" s="141"/>
      <c r="EUP183" s="141"/>
      <c r="EUQ183" s="141"/>
      <c r="EUR183" s="141"/>
      <c r="EUS183" s="141"/>
      <c r="EUT183" s="141"/>
      <c r="EUU183" s="141"/>
      <c r="EUV183" s="141"/>
      <c r="EUW183" s="141"/>
      <c r="EUX183" s="141"/>
      <c r="EUY183" s="141"/>
      <c r="EUZ183" s="141"/>
      <c r="EVA183" s="141"/>
      <c r="EVB183" s="141"/>
      <c r="EVC183" s="141"/>
      <c r="EVD183" s="141"/>
      <c r="EVE183" s="141"/>
      <c r="EVF183" s="141"/>
      <c r="EVG183" s="141"/>
      <c r="EVH183" s="141"/>
      <c r="EVI183" s="141"/>
      <c r="EVJ183" s="141"/>
      <c r="EVK183" s="141"/>
      <c r="EVL183" s="141"/>
      <c r="EVM183" s="141"/>
      <c r="EVN183" s="141"/>
      <c r="EVO183" s="141"/>
      <c r="EVP183" s="141"/>
      <c r="EVQ183" s="141"/>
      <c r="EVR183" s="141"/>
      <c r="EVS183" s="141"/>
      <c r="EVT183" s="141"/>
      <c r="EVU183" s="141"/>
      <c r="EVV183" s="141"/>
      <c r="EVW183" s="141"/>
      <c r="EVX183" s="141"/>
      <c r="EVY183" s="141"/>
      <c r="EVZ183" s="141"/>
      <c r="EWA183" s="141"/>
      <c r="EWB183" s="141"/>
      <c r="EWC183" s="141"/>
      <c r="EWD183" s="141"/>
      <c r="EWE183" s="141"/>
      <c r="EWF183" s="141"/>
      <c r="EWG183" s="141"/>
      <c r="EWH183" s="141"/>
      <c r="EWI183" s="141"/>
      <c r="EWJ183" s="141"/>
      <c r="EWK183" s="141"/>
      <c r="EWL183" s="141"/>
      <c r="EWM183" s="141"/>
      <c r="EWN183" s="141"/>
      <c r="EWO183" s="141"/>
      <c r="EWP183" s="141"/>
      <c r="EWQ183" s="141"/>
      <c r="EWR183" s="141"/>
      <c r="EWS183" s="141"/>
      <c r="EWT183" s="141"/>
      <c r="EWU183" s="141"/>
      <c r="EWV183" s="141"/>
      <c r="EWW183" s="141"/>
      <c r="EWX183" s="141"/>
      <c r="EWY183" s="141"/>
      <c r="EWZ183" s="141"/>
      <c r="EXA183" s="141"/>
      <c r="EXB183" s="141"/>
      <c r="EXC183" s="141"/>
      <c r="EXD183" s="141"/>
      <c r="EXE183" s="141"/>
      <c r="EXF183" s="141"/>
      <c r="EXG183" s="141"/>
      <c r="EXH183" s="141"/>
      <c r="EXI183" s="141"/>
      <c r="EXJ183" s="141"/>
      <c r="EXK183" s="141"/>
      <c r="EXL183" s="141"/>
      <c r="EXM183" s="141"/>
      <c r="EXN183" s="141"/>
      <c r="EXO183" s="141"/>
      <c r="EXP183" s="141"/>
      <c r="EXQ183" s="141"/>
      <c r="EXR183" s="141"/>
      <c r="EXS183" s="141"/>
      <c r="EXT183" s="141"/>
      <c r="EXU183" s="141"/>
      <c r="EXV183" s="141"/>
      <c r="EXW183" s="141"/>
      <c r="EXX183" s="141"/>
      <c r="EXY183" s="141"/>
      <c r="EXZ183" s="141"/>
      <c r="EYA183" s="141"/>
      <c r="EYB183" s="141"/>
      <c r="EYC183" s="141"/>
      <c r="EYD183" s="141"/>
      <c r="EYE183" s="141"/>
      <c r="EYF183" s="141"/>
      <c r="EYG183" s="141"/>
      <c r="EYH183" s="141"/>
      <c r="EYI183" s="141"/>
      <c r="EYJ183" s="141"/>
      <c r="EYK183" s="141"/>
      <c r="EYL183" s="141"/>
      <c r="EYM183" s="141"/>
      <c r="EYN183" s="141"/>
      <c r="EYO183" s="141"/>
      <c r="EYP183" s="141"/>
      <c r="EYQ183" s="141"/>
      <c r="EYR183" s="141"/>
      <c r="EYS183" s="141"/>
      <c r="EYT183" s="141"/>
      <c r="EYU183" s="141"/>
      <c r="EYV183" s="141"/>
      <c r="EYW183" s="141"/>
      <c r="EYX183" s="141"/>
      <c r="EYY183" s="141"/>
      <c r="EYZ183" s="141"/>
      <c r="EZA183" s="141"/>
      <c r="EZB183" s="141"/>
      <c r="EZC183" s="141"/>
      <c r="EZD183" s="141"/>
      <c r="EZE183" s="141"/>
      <c r="EZF183" s="141"/>
      <c r="EZG183" s="141"/>
      <c r="EZH183" s="141"/>
      <c r="EZI183" s="141"/>
      <c r="EZJ183" s="141"/>
      <c r="EZK183" s="141"/>
      <c r="EZL183" s="141"/>
      <c r="EZM183" s="141"/>
      <c r="EZN183" s="141"/>
      <c r="EZO183" s="141"/>
      <c r="EZP183" s="141"/>
      <c r="EZQ183" s="141"/>
      <c r="EZR183" s="141"/>
      <c r="EZS183" s="141"/>
      <c r="EZT183" s="141"/>
      <c r="EZU183" s="141"/>
      <c r="EZV183" s="141"/>
      <c r="EZW183" s="141"/>
      <c r="EZX183" s="141"/>
      <c r="EZY183" s="141"/>
      <c r="EZZ183" s="141"/>
      <c r="FAA183" s="141"/>
      <c r="FAB183" s="141"/>
      <c r="FAC183" s="141"/>
      <c r="FAD183" s="141"/>
      <c r="FAE183" s="141"/>
      <c r="FAF183" s="141"/>
      <c r="FAG183" s="141"/>
      <c r="FAH183" s="141"/>
      <c r="FAI183" s="141"/>
      <c r="FAJ183" s="141"/>
      <c r="FAK183" s="141"/>
      <c r="FAL183" s="141"/>
      <c r="FAM183" s="141"/>
      <c r="FAN183" s="141"/>
      <c r="FAO183" s="141"/>
      <c r="FAP183" s="141"/>
      <c r="FAQ183" s="141"/>
      <c r="FAR183" s="141"/>
      <c r="FAS183" s="141"/>
      <c r="FAT183" s="141"/>
      <c r="FAU183" s="141"/>
      <c r="FAV183" s="141"/>
      <c r="FAW183" s="141"/>
      <c r="FAX183" s="141"/>
      <c r="FAY183" s="141"/>
      <c r="FAZ183" s="141"/>
      <c r="FBA183" s="141"/>
      <c r="FBB183" s="141"/>
      <c r="FBC183" s="141"/>
      <c r="FBD183" s="141"/>
      <c r="FBE183" s="141"/>
      <c r="FBF183" s="141"/>
      <c r="FBG183" s="141"/>
      <c r="FBH183" s="141"/>
      <c r="FBI183" s="141"/>
      <c r="FBJ183" s="141"/>
      <c r="FBK183" s="141"/>
      <c r="FBL183" s="141"/>
      <c r="FBM183" s="141"/>
      <c r="FBN183" s="141"/>
      <c r="FBO183" s="141"/>
      <c r="FBP183" s="141"/>
      <c r="FBQ183" s="141"/>
      <c r="FBR183" s="141"/>
      <c r="FBS183" s="141"/>
      <c r="FBT183" s="141"/>
      <c r="FBU183" s="141"/>
      <c r="FBV183" s="141"/>
      <c r="FBW183" s="141"/>
      <c r="FBX183" s="141"/>
      <c r="FBY183" s="141"/>
      <c r="FBZ183" s="141"/>
      <c r="FCA183" s="141"/>
      <c r="FCB183" s="141"/>
      <c r="FCC183" s="141"/>
      <c r="FCD183" s="141"/>
      <c r="FCE183" s="141"/>
      <c r="FCF183" s="141"/>
      <c r="FCG183" s="141"/>
      <c r="FCH183" s="141"/>
      <c r="FCI183" s="141"/>
      <c r="FCJ183" s="141"/>
      <c r="FCK183" s="141"/>
      <c r="FCL183" s="141"/>
      <c r="FCM183" s="141"/>
      <c r="FCN183" s="141"/>
      <c r="FCO183" s="141"/>
      <c r="FCP183" s="141"/>
      <c r="FCQ183" s="141"/>
      <c r="FCR183" s="141"/>
      <c r="FCS183" s="141"/>
      <c r="FCT183" s="141"/>
      <c r="FCU183" s="141"/>
      <c r="FCV183" s="141"/>
      <c r="FCW183" s="141"/>
      <c r="FCX183" s="141"/>
      <c r="FCY183" s="141"/>
      <c r="FCZ183" s="141"/>
      <c r="FDA183" s="141"/>
      <c r="FDB183" s="141"/>
      <c r="FDC183" s="141"/>
      <c r="FDD183" s="141"/>
      <c r="FDE183" s="141"/>
      <c r="FDF183" s="141"/>
      <c r="FDG183" s="141"/>
      <c r="FDH183" s="141"/>
      <c r="FDI183" s="141"/>
      <c r="FDJ183" s="141"/>
      <c r="FDK183" s="141"/>
      <c r="FDL183" s="141"/>
      <c r="FDM183" s="141"/>
      <c r="FDN183" s="141"/>
      <c r="FDO183" s="141"/>
      <c r="FDP183" s="141"/>
      <c r="FDQ183" s="141"/>
      <c r="FDR183" s="141"/>
      <c r="FDS183" s="141"/>
      <c r="FDT183" s="141"/>
      <c r="FDU183" s="141"/>
      <c r="FDV183" s="141"/>
      <c r="FDW183" s="141"/>
      <c r="FDX183" s="141"/>
      <c r="FDY183" s="141"/>
      <c r="FDZ183" s="141"/>
      <c r="FEA183" s="141"/>
      <c r="FEB183" s="141"/>
      <c r="FEC183" s="141"/>
      <c r="FED183" s="141"/>
      <c r="FEE183" s="141"/>
      <c r="FEF183" s="141"/>
      <c r="FEG183" s="141"/>
      <c r="FEH183" s="141"/>
      <c r="FEI183" s="141"/>
      <c r="FEJ183" s="141"/>
      <c r="FEK183" s="141"/>
      <c r="FEL183" s="141"/>
      <c r="FEM183" s="141"/>
      <c r="FEN183" s="141"/>
      <c r="FEO183" s="141"/>
      <c r="FEP183" s="141"/>
      <c r="FEQ183" s="141"/>
      <c r="FER183" s="141"/>
      <c r="FES183" s="141"/>
      <c r="FET183" s="141"/>
      <c r="FEU183" s="141"/>
      <c r="FEV183" s="141"/>
      <c r="FEW183" s="141"/>
      <c r="FEX183" s="141"/>
      <c r="FEY183" s="141"/>
      <c r="FEZ183" s="141"/>
      <c r="FFA183" s="141"/>
      <c r="FFB183" s="141"/>
      <c r="FFC183" s="141"/>
      <c r="FFD183" s="141"/>
      <c r="FFE183" s="141"/>
      <c r="FFF183" s="141"/>
      <c r="FFG183" s="141"/>
      <c r="FFH183" s="141"/>
      <c r="FFI183" s="141"/>
      <c r="FFJ183" s="141"/>
      <c r="FFK183" s="141"/>
      <c r="FFL183" s="141"/>
      <c r="FFM183" s="141"/>
      <c r="FFN183" s="141"/>
      <c r="FFO183" s="141"/>
      <c r="FFP183" s="141"/>
      <c r="FFQ183" s="141"/>
      <c r="FFR183" s="141"/>
      <c r="FFS183" s="141"/>
      <c r="FFT183" s="141"/>
      <c r="FFU183" s="141"/>
      <c r="FFV183" s="141"/>
      <c r="FFW183" s="141"/>
      <c r="FFX183" s="141"/>
      <c r="FFY183" s="141"/>
      <c r="FFZ183" s="141"/>
      <c r="FGA183" s="141"/>
      <c r="FGB183" s="141"/>
      <c r="FGC183" s="141"/>
      <c r="FGD183" s="141"/>
      <c r="FGE183" s="141"/>
      <c r="FGF183" s="141"/>
      <c r="FGG183" s="141"/>
      <c r="FGH183" s="141"/>
      <c r="FGI183" s="141"/>
      <c r="FGJ183" s="141"/>
      <c r="FGK183" s="141"/>
      <c r="FGL183" s="141"/>
      <c r="FGM183" s="141"/>
      <c r="FGN183" s="141"/>
      <c r="FGO183" s="141"/>
      <c r="FGP183" s="141"/>
      <c r="FGQ183" s="141"/>
      <c r="FGR183" s="141"/>
      <c r="FGS183" s="141"/>
      <c r="FGT183" s="141"/>
      <c r="FGU183" s="141"/>
      <c r="FGV183" s="141"/>
      <c r="FGW183" s="141"/>
      <c r="FGX183" s="141"/>
      <c r="FGY183" s="141"/>
      <c r="FGZ183" s="141"/>
      <c r="FHA183" s="141"/>
      <c r="FHB183" s="141"/>
      <c r="FHC183" s="141"/>
      <c r="FHD183" s="141"/>
      <c r="FHE183" s="141"/>
      <c r="FHF183" s="141"/>
      <c r="FHG183" s="141"/>
      <c r="FHH183" s="141"/>
      <c r="FHI183" s="141"/>
      <c r="FHJ183" s="141"/>
      <c r="FHK183" s="141"/>
      <c r="FHL183" s="141"/>
      <c r="FHM183" s="141"/>
      <c r="FHN183" s="141"/>
      <c r="FHO183" s="141"/>
      <c r="FHP183" s="141"/>
      <c r="FHQ183" s="141"/>
      <c r="FHR183" s="141"/>
      <c r="FHS183" s="141"/>
      <c r="FHT183" s="141"/>
      <c r="FHU183" s="141"/>
      <c r="FHV183" s="141"/>
      <c r="FHW183" s="141"/>
      <c r="FHX183" s="141"/>
      <c r="FHY183" s="141"/>
      <c r="FHZ183" s="141"/>
      <c r="FIA183" s="141"/>
      <c r="FIB183" s="141"/>
      <c r="FIC183" s="141"/>
      <c r="FID183" s="141"/>
      <c r="FIE183" s="141"/>
      <c r="FIF183" s="141"/>
      <c r="FIG183" s="141"/>
      <c r="FIH183" s="141"/>
      <c r="FII183" s="141"/>
      <c r="FIJ183" s="141"/>
      <c r="FIK183" s="141"/>
      <c r="FIL183" s="141"/>
      <c r="FIM183" s="141"/>
      <c r="FIN183" s="141"/>
      <c r="FIO183" s="141"/>
      <c r="FIP183" s="141"/>
      <c r="FIQ183" s="141"/>
      <c r="FIR183" s="141"/>
      <c r="FIS183" s="141"/>
      <c r="FIT183" s="141"/>
      <c r="FIU183" s="141"/>
      <c r="FIV183" s="141"/>
      <c r="FIW183" s="141"/>
      <c r="FIX183" s="141"/>
      <c r="FIY183" s="141"/>
      <c r="FIZ183" s="141"/>
      <c r="FJA183" s="141"/>
      <c r="FJB183" s="141"/>
      <c r="FJC183" s="141"/>
      <c r="FJD183" s="141"/>
      <c r="FJE183" s="141"/>
      <c r="FJF183" s="141"/>
      <c r="FJG183" s="141"/>
      <c r="FJH183" s="141"/>
      <c r="FJI183" s="141"/>
      <c r="FJJ183" s="141"/>
      <c r="FJK183" s="141"/>
      <c r="FJL183" s="141"/>
      <c r="FJM183" s="141"/>
      <c r="FJN183" s="141"/>
      <c r="FJO183" s="141"/>
      <c r="FJP183" s="141"/>
      <c r="FJQ183" s="141"/>
      <c r="FJR183" s="141"/>
      <c r="FJS183" s="141"/>
      <c r="FJT183" s="141"/>
      <c r="FJU183" s="141"/>
      <c r="FJV183" s="141"/>
      <c r="FJW183" s="141"/>
      <c r="FJX183" s="141"/>
      <c r="FJY183" s="141"/>
      <c r="FJZ183" s="141"/>
      <c r="FKA183" s="141"/>
      <c r="FKB183" s="141"/>
      <c r="FKC183" s="141"/>
      <c r="FKD183" s="141"/>
      <c r="FKE183" s="141"/>
      <c r="FKF183" s="141"/>
      <c r="FKG183" s="141"/>
      <c r="FKH183" s="141"/>
      <c r="FKI183" s="141"/>
      <c r="FKJ183" s="141"/>
      <c r="FKK183" s="141"/>
      <c r="FKL183" s="141"/>
      <c r="FKM183" s="141"/>
      <c r="FKN183" s="141"/>
      <c r="FKO183" s="141"/>
      <c r="FKP183" s="141"/>
      <c r="FKQ183" s="141"/>
      <c r="FKR183" s="141"/>
      <c r="FKS183" s="141"/>
      <c r="FKT183" s="141"/>
      <c r="FKU183" s="141"/>
      <c r="FKV183" s="141"/>
      <c r="FKW183" s="141"/>
      <c r="FKX183" s="141"/>
      <c r="FKY183" s="141"/>
      <c r="FKZ183" s="141"/>
      <c r="FLA183" s="141"/>
      <c r="FLB183" s="141"/>
      <c r="FLC183" s="141"/>
      <c r="FLD183" s="141"/>
      <c r="FLE183" s="141"/>
      <c r="FLF183" s="141"/>
      <c r="FLG183" s="141"/>
      <c r="FLH183" s="141"/>
      <c r="FLI183" s="141"/>
      <c r="FLJ183" s="141"/>
      <c r="FLK183" s="141"/>
      <c r="FLL183" s="141"/>
      <c r="FLM183" s="141"/>
      <c r="FLN183" s="141"/>
      <c r="FLO183" s="141"/>
      <c r="FLP183" s="141"/>
      <c r="FLQ183" s="141"/>
      <c r="FLR183" s="141"/>
      <c r="FLS183" s="141"/>
      <c r="FLT183" s="141"/>
      <c r="FLU183" s="141"/>
      <c r="FLV183" s="141"/>
      <c r="FLW183" s="141"/>
      <c r="FLX183" s="141"/>
      <c r="FLY183" s="141"/>
      <c r="FLZ183" s="141"/>
      <c r="FMA183" s="141"/>
      <c r="FMB183" s="141"/>
      <c r="FMC183" s="141"/>
      <c r="FMD183" s="141"/>
      <c r="FME183" s="141"/>
      <c r="FMF183" s="141"/>
      <c r="FMG183" s="141"/>
      <c r="FMH183" s="141"/>
      <c r="FMI183" s="141"/>
      <c r="FMJ183" s="141"/>
      <c r="FMK183" s="141"/>
      <c r="FML183" s="141"/>
      <c r="FMM183" s="141"/>
      <c r="FMN183" s="141"/>
      <c r="FMO183" s="141"/>
      <c r="FMP183" s="141"/>
      <c r="FMQ183" s="141"/>
      <c r="FMR183" s="141"/>
      <c r="FMS183" s="141"/>
      <c r="FMT183" s="141"/>
      <c r="FMU183" s="141"/>
      <c r="FMV183" s="141"/>
      <c r="FMW183" s="141"/>
      <c r="FMX183" s="141"/>
      <c r="FMY183" s="141"/>
      <c r="FMZ183" s="141"/>
      <c r="FNA183" s="141"/>
      <c r="FNB183" s="141"/>
      <c r="FNC183" s="141"/>
      <c r="FND183" s="141"/>
      <c r="FNE183" s="141"/>
      <c r="FNF183" s="141"/>
      <c r="FNG183" s="141"/>
      <c r="FNH183" s="141"/>
      <c r="FNI183" s="141"/>
      <c r="FNJ183" s="141"/>
      <c r="FNK183" s="141"/>
      <c r="FNL183" s="141"/>
      <c r="FNM183" s="141"/>
      <c r="FNN183" s="141"/>
      <c r="FNO183" s="141"/>
      <c r="FNP183" s="141"/>
      <c r="FNQ183" s="141"/>
      <c r="FNR183" s="141"/>
      <c r="FNS183" s="141"/>
      <c r="FNT183" s="141"/>
      <c r="FNU183" s="141"/>
      <c r="FNV183" s="141"/>
      <c r="FNW183" s="141"/>
      <c r="FNX183" s="141"/>
      <c r="FNY183" s="141"/>
      <c r="FNZ183" s="141"/>
      <c r="FOA183" s="141"/>
      <c r="FOB183" s="141"/>
      <c r="FOC183" s="141"/>
      <c r="FOD183" s="141"/>
      <c r="FOE183" s="141"/>
      <c r="FOF183" s="141"/>
      <c r="FOG183" s="141"/>
      <c r="FOH183" s="141"/>
      <c r="FOI183" s="141"/>
      <c r="FOJ183" s="141"/>
      <c r="FOK183" s="141"/>
      <c r="FOL183" s="141"/>
      <c r="FOM183" s="141"/>
      <c r="FON183" s="141"/>
      <c r="FOO183" s="141"/>
      <c r="FOP183" s="141"/>
      <c r="FOQ183" s="141"/>
      <c r="FOR183" s="141"/>
      <c r="FOS183" s="141"/>
      <c r="FOT183" s="141"/>
      <c r="FOU183" s="141"/>
      <c r="FOV183" s="141"/>
      <c r="FOW183" s="141"/>
      <c r="FOX183" s="141"/>
      <c r="FOY183" s="141"/>
      <c r="FOZ183" s="141"/>
      <c r="FPA183" s="141"/>
      <c r="FPB183" s="141"/>
      <c r="FPC183" s="141"/>
      <c r="FPD183" s="141"/>
      <c r="FPE183" s="141"/>
      <c r="FPF183" s="141"/>
      <c r="FPG183" s="141"/>
      <c r="FPH183" s="141"/>
      <c r="FPI183" s="141"/>
      <c r="FPJ183" s="141"/>
      <c r="FPK183" s="141"/>
      <c r="FPL183" s="141"/>
      <c r="FPM183" s="141"/>
      <c r="FPN183" s="141"/>
      <c r="FPO183" s="141"/>
      <c r="FPP183" s="141"/>
      <c r="FPQ183" s="141"/>
      <c r="FPR183" s="141"/>
      <c r="FPS183" s="141"/>
      <c r="FPT183" s="141"/>
      <c r="FPU183" s="141"/>
      <c r="FPV183" s="141"/>
      <c r="FPW183" s="141"/>
      <c r="FPX183" s="141"/>
      <c r="FPY183" s="141"/>
      <c r="FPZ183" s="141"/>
      <c r="FQA183" s="141"/>
      <c r="FQB183" s="141"/>
      <c r="FQC183" s="141"/>
      <c r="FQD183" s="141"/>
      <c r="FQE183" s="141"/>
      <c r="FQF183" s="141"/>
      <c r="FQG183" s="141"/>
      <c r="FQH183" s="141"/>
      <c r="FQI183" s="141"/>
      <c r="FQJ183" s="141"/>
      <c r="FQK183" s="141"/>
      <c r="FQL183" s="141"/>
      <c r="FQM183" s="141"/>
      <c r="FQN183" s="141"/>
      <c r="FQO183" s="141"/>
      <c r="FQP183" s="141"/>
      <c r="FQQ183" s="141"/>
      <c r="FQR183" s="141"/>
      <c r="FQS183" s="141"/>
      <c r="FQT183" s="141"/>
      <c r="FQU183" s="141"/>
      <c r="FQV183" s="141"/>
      <c r="FQW183" s="141"/>
      <c r="FQX183" s="141"/>
      <c r="FQY183" s="141"/>
      <c r="FQZ183" s="141"/>
      <c r="FRA183" s="141"/>
      <c r="FRB183" s="141"/>
      <c r="FRC183" s="141"/>
      <c r="FRD183" s="141"/>
      <c r="FRE183" s="141"/>
      <c r="FRF183" s="141"/>
      <c r="FRG183" s="141"/>
      <c r="FRH183" s="141"/>
      <c r="FRI183" s="141"/>
      <c r="FRJ183" s="141"/>
      <c r="FRK183" s="141"/>
      <c r="FRL183" s="141"/>
      <c r="FRM183" s="141"/>
      <c r="FRN183" s="141"/>
      <c r="FRO183" s="141"/>
      <c r="FRP183" s="141"/>
      <c r="FRQ183" s="141"/>
      <c r="FRR183" s="141"/>
      <c r="FRS183" s="141"/>
      <c r="FRT183" s="141"/>
      <c r="FRU183" s="141"/>
      <c r="FRV183" s="141"/>
      <c r="FRW183" s="141"/>
      <c r="FRX183" s="141"/>
      <c r="FRY183" s="141"/>
      <c r="FRZ183" s="141"/>
      <c r="FSA183" s="141"/>
      <c r="FSB183" s="141"/>
      <c r="FSC183" s="141"/>
      <c r="FSD183" s="141"/>
      <c r="FSE183" s="141"/>
      <c r="FSF183" s="141"/>
      <c r="FSG183" s="141"/>
      <c r="FSH183" s="141"/>
      <c r="FSI183" s="141"/>
      <c r="FSJ183" s="141"/>
      <c r="FSK183" s="141"/>
      <c r="FSL183" s="141"/>
      <c r="FSM183" s="141"/>
      <c r="FSN183" s="141"/>
      <c r="FSO183" s="141"/>
      <c r="FSP183" s="141"/>
      <c r="FSQ183" s="141"/>
      <c r="FSR183" s="141"/>
      <c r="FSS183" s="141"/>
      <c r="FST183" s="141"/>
      <c r="FSU183" s="141"/>
      <c r="FSV183" s="141"/>
      <c r="FSW183" s="141"/>
      <c r="FSX183" s="141"/>
      <c r="FSY183" s="141"/>
      <c r="FSZ183" s="141"/>
      <c r="FTA183" s="141"/>
      <c r="FTB183" s="141"/>
      <c r="FTC183" s="141"/>
      <c r="FTD183" s="141"/>
      <c r="FTE183" s="141"/>
      <c r="FTF183" s="141"/>
      <c r="FTG183" s="141"/>
      <c r="FTH183" s="141"/>
      <c r="FTI183" s="141"/>
      <c r="FTJ183" s="141"/>
      <c r="FTK183" s="141"/>
      <c r="FTL183" s="141"/>
      <c r="FTM183" s="141"/>
      <c r="FTN183" s="141"/>
      <c r="FTO183" s="141"/>
      <c r="FTP183" s="141"/>
      <c r="FTQ183" s="141"/>
      <c r="FTR183" s="141"/>
      <c r="FTS183" s="141"/>
      <c r="FTT183" s="141"/>
      <c r="FTU183" s="141"/>
      <c r="FTV183" s="141"/>
      <c r="FTW183" s="141"/>
      <c r="FTX183" s="141"/>
      <c r="FTY183" s="141"/>
      <c r="FTZ183" s="141"/>
      <c r="FUA183" s="141"/>
      <c r="FUB183" s="141"/>
      <c r="FUC183" s="141"/>
      <c r="FUD183" s="141"/>
      <c r="FUE183" s="141"/>
      <c r="FUF183" s="141"/>
      <c r="FUG183" s="141"/>
      <c r="FUH183" s="141"/>
      <c r="FUI183" s="141"/>
      <c r="FUJ183" s="141"/>
      <c r="FUK183" s="141"/>
      <c r="FUL183" s="141"/>
      <c r="FUM183" s="141"/>
      <c r="FUN183" s="141"/>
      <c r="FUO183" s="141"/>
      <c r="FUP183" s="141"/>
      <c r="FUQ183" s="141"/>
      <c r="FUR183" s="141"/>
      <c r="FUS183" s="141"/>
      <c r="FUT183" s="141"/>
      <c r="FUU183" s="141"/>
      <c r="FUV183" s="141"/>
      <c r="FUW183" s="141"/>
      <c r="FUX183" s="141"/>
      <c r="FUY183" s="141"/>
      <c r="FUZ183" s="141"/>
      <c r="FVA183" s="141"/>
      <c r="FVB183" s="141"/>
      <c r="FVC183" s="141"/>
      <c r="FVD183" s="141"/>
      <c r="FVE183" s="141"/>
      <c r="FVF183" s="141"/>
      <c r="FVG183" s="141"/>
      <c r="FVH183" s="141"/>
      <c r="FVI183" s="141"/>
      <c r="FVJ183" s="141"/>
      <c r="FVK183" s="141"/>
      <c r="FVL183" s="141"/>
      <c r="FVM183" s="141"/>
      <c r="FVN183" s="141"/>
      <c r="FVO183" s="141"/>
      <c r="FVP183" s="141"/>
      <c r="FVQ183" s="141"/>
      <c r="FVR183" s="141"/>
      <c r="FVS183" s="141"/>
      <c r="FVT183" s="141"/>
      <c r="FVU183" s="141"/>
      <c r="FVV183" s="141"/>
      <c r="FVW183" s="141"/>
      <c r="FVX183" s="141"/>
      <c r="FVY183" s="141"/>
      <c r="FVZ183" s="141"/>
      <c r="FWA183" s="141"/>
      <c r="FWB183" s="141"/>
      <c r="FWC183" s="141"/>
      <c r="FWD183" s="141"/>
      <c r="FWE183" s="141"/>
      <c r="FWF183" s="141"/>
      <c r="FWG183" s="141"/>
      <c r="FWH183" s="141"/>
      <c r="FWI183" s="141"/>
      <c r="FWJ183" s="141"/>
      <c r="FWK183" s="141"/>
      <c r="FWL183" s="141"/>
      <c r="FWM183" s="141"/>
      <c r="FWN183" s="141"/>
      <c r="FWO183" s="141"/>
      <c r="FWP183" s="141"/>
      <c r="FWQ183" s="141"/>
      <c r="FWR183" s="141"/>
      <c r="FWS183" s="141"/>
      <c r="FWT183" s="141"/>
      <c r="FWU183" s="141"/>
      <c r="FWV183" s="141"/>
      <c r="FWW183" s="141"/>
      <c r="FWX183" s="141"/>
      <c r="FWY183" s="141"/>
      <c r="FWZ183" s="141"/>
      <c r="FXA183" s="141"/>
      <c r="FXB183" s="141"/>
      <c r="FXC183" s="141"/>
      <c r="FXD183" s="141"/>
      <c r="FXE183" s="141"/>
      <c r="FXF183" s="141"/>
      <c r="FXG183" s="141"/>
      <c r="FXH183" s="141"/>
      <c r="FXI183" s="141"/>
      <c r="FXJ183" s="141"/>
      <c r="FXK183" s="141"/>
      <c r="FXL183" s="141"/>
      <c r="FXM183" s="141"/>
      <c r="FXN183" s="141"/>
      <c r="FXO183" s="141"/>
      <c r="FXP183" s="141"/>
      <c r="FXQ183" s="141"/>
      <c r="FXR183" s="141"/>
      <c r="FXS183" s="141"/>
      <c r="FXT183" s="141"/>
      <c r="FXU183" s="141"/>
      <c r="FXV183" s="141"/>
      <c r="FXW183" s="141"/>
      <c r="FXX183" s="141"/>
      <c r="FXY183" s="141"/>
      <c r="FXZ183" s="141"/>
      <c r="FYA183" s="141"/>
      <c r="FYB183" s="141"/>
      <c r="FYC183" s="141"/>
      <c r="FYD183" s="141"/>
      <c r="FYE183" s="141"/>
      <c r="FYF183" s="141"/>
      <c r="FYG183" s="141"/>
      <c r="FYH183" s="141"/>
      <c r="FYI183" s="141"/>
      <c r="FYJ183" s="141"/>
      <c r="FYK183" s="141"/>
      <c r="FYL183" s="141"/>
      <c r="FYM183" s="141"/>
      <c r="FYN183" s="141"/>
      <c r="FYO183" s="141"/>
      <c r="FYP183" s="141"/>
      <c r="FYQ183" s="141"/>
      <c r="FYR183" s="141"/>
      <c r="FYS183" s="141"/>
      <c r="FYT183" s="141"/>
      <c r="FYU183" s="141"/>
      <c r="FYV183" s="141"/>
      <c r="FYW183" s="141"/>
      <c r="FYX183" s="141"/>
      <c r="FYY183" s="141"/>
      <c r="FYZ183" s="141"/>
      <c r="FZA183" s="141"/>
      <c r="FZB183" s="141"/>
      <c r="FZC183" s="141"/>
      <c r="FZD183" s="141"/>
      <c r="FZE183" s="141"/>
      <c r="FZF183" s="141"/>
      <c r="FZG183" s="141"/>
      <c r="FZH183" s="141"/>
      <c r="FZI183" s="141"/>
      <c r="FZJ183" s="141"/>
      <c r="FZK183" s="141"/>
      <c r="FZL183" s="141"/>
      <c r="FZM183" s="141"/>
      <c r="FZN183" s="141"/>
      <c r="FZO183" s="141"/>
      <c r="FZP183" s="141"/>
      <c r="FZQ183" s="141"/>
      <c r="FZR183" s="141"/>
      <c r="FZS183" s="141"/>
      <c r="FZT183" s="141"/>
      <c r="FZU183" s="141"/>
      <c r="FZV183" s="141"/>
      <c r="FZW183" s="141"/>
      <c r="FZX183" s="141"/>
      <c r="FZY183" s="141"/>
      <c r="FZZ183" s="141"/>
      <c r="GAA183" s="141"/>
      <c r="GAB183" s="141"/>
      <c r="GAC183" s="141"/>
      <c r="GAD183" s="141"/>
      <c r="GAE183" s="141"/>
      <c r="GAF183" s="141"/>
      <c r="GAG183" s="141"/>
      <c r="GAH183" s="141"/>
      <c r="GAI183" s="141"/>
      <c r="GAJ183" s="141"/>
      <c r="GAK183" s="141"/>
      <c r="GAL183" s="141"/>
      <c r="GAM183" s="141"/>
      <c r="GAN183" s="141"/>
      <c r="GAO183" s="141"/>
      <c r="GAP183" s="141"/>
      <c r="GAQ183" s="141"/>
      <c r="GAR183" s="141"/>
      <c r="GAS183" s="141"/>
      <c r="GAT183" s="141"/>
      <c r="GAU183" s="141"/>
      <c r="GAV183" s="141"/>
      <c r="GAW183" s="141"/>
      <c r="GAX183" s="141"/>
      <c r="GAY183" s="141"/>
      <c r="GAZ183" s="141"/>
      <c r="GBA183" s="141"/>
      <c r="GBB183" s="141"/>
      <c r="GBC183" s="141"/>
      <c r="GBD183" s="141"/>
      <c r="GBE183" s="141"/>
      <c r="GBF183" s="141"/>
      <c r="GBG183" s="141"/>
      <c r="GBH183" s="141"/>
      <c r="GBI183" s="141"/>
      <c r="GBJ183" s="141"/>
      <c r="GBK183" s="141"/>
      <c r="GBL183" s="141"/>
      <c r="GBM183" s="141"/>
      <c r="GBN183" s="141"/>
      <c r="GBO183" s="141"/>
      <c r="GBP183" s="141"/>
      <c r="GBQ183" s="141"/>
      <c r="GBR183" s="141"/>
      <c r="GBS183" s="141"/>
      <c r="GBT183" s="141"/>
      <c r="GBU183" s="141"/>
      <c r="GBV183" s="141"/>
      <c r="GBW183" s="141"/>
      <c r="GBX183" s="141"/>
      <c r="GBY183" s="141"/>
      <c r="GBZ183" s="141"/>
      <c r="GCA183" s="141"/>
      <c r="GCB183" s="141"/>
      <c r="GCC183" s="141"/>
      <c r="GCD183" s="141"/>
      <c r="GCE183" s="141"/>
      <c r="GCF183" s="141"/>
      <c r="GCG183" s="141"/>
      <c r="GCH183" s="141"/>
      <c r="GCI183" s="141"/>
      <c r="GCJ183" s="141"/>
      <c r="GCK183" s="141"/>
      <c r="GCL183" s="141"/>
      <c r="GCM183" s="141"/>
      <c r="GCN183" s="141"/>
      <c r="GCO183" s="141"/>
      <c r="GCP183" s="141"/>
      <c r="GCQ183" s="141"/>
      <c r="GCR183" s="141"/>
      <c r="GCS183" s="141"/>
      <c r="GCT183" s="141"/>
      <c r="GCU183" s="141"/>
      <c r="GCV183" s="141"/>
      <c r="GCW183" s="141"/>
      <c r="GCX183" s="141"/>
      <c r="GCY183" s="141"/>
      <c r="GCZ183" s="141"/>
      <c r="GDA183" s="141"/>
      <c r="GDB183" s="141"/>
      <c r="GDC183" s="141"/>
      <c r="GDD183" s="141"/>
      <c r="GDE183" s="141"/>
      <c r="GDF183" s="141"/>
      <c r="GDG183" s="141"/>
      <c r="GDH183" s="141"/>
      <c r="GDI183" s="141"/>
      <c r="GDJ183" s="141"/>
      <c r="GDK183" s="141"/>
      <c r="GDL183" s="141"/>
      <c r="GDM183" s="141"/>
      <c r="GDN183" s="141"/>
      <c r="GDO183" s="141"/>
      <c r="GDP183" s="141"/>
      <c r="GDQ183" s="141"/>
      <c r="GDR183" s="141"/>
      <c r="GDS183" s="141"/>
      <c r="GDT183" s="141"/>
      <c r="GDU183" s="141"/>
      <c r="GDV183" s="141"/>
      <c r="GDW183" s="141"/>
      <c r="GDX183" s="141"/>
      <c r="GDY183" s="141"/>
      <c r="GDZ183" s="141"/>
      <c r="GEA183" s="141"/>
      <c r="GEB183" s="141"/>
      <c r="GEC183" s="141"/>
      <c r="GED183" s="141"/>
      <c r="GEE183" s="141"/>
      <c r="GEF183" s="141"/>
      <c r="GEG183" s="141"/>
      <c r="GEH183" s="141"/>
      <c r="GEI183" s="141"/>
      <c r="GEJ183" s="141"/>
      <c r="GEK183" s="141"/>
      <c r="GEL183" s="141"/>
      <c r="GEM183" s="141"/>
      <c r="GEN183" s="141"/>
      <c r="GEO183" s="141"/>
      <c r="GEP183" s="141"/>
      <c r="GEQ183" s="141"/>
      <c r="GER183" s="141"/>
      <c r="GES183" s="141"/>
      <c r="GET183" s="141"/>
      <c r="GEU183" s="141"/>
      <c r="GEV183" s="141"/>
      <c r="GEW183" s="141"/>
      <c r="GEX183" s="141"/>
      <c r="GEY183" s="141"/>
      <c r="GEZ183" s="141"/>
      <c r="GFA183" s="141"/>
      <c r="GFB183" s="141"/>
      <c r="GFC183" s="141"/>
      <c r="GFD183" s="141"/>
      <c r="GFE183" s="141"/>
      <c r="GFF183" s="141"/>
      <c r="GFG183" s="141"/>
      <c r="GFH183" s="141"/>
      <c r="GFI183" s="141"/>
      <c r="GFJ183" s="141"/>
      <c r="GFK183" s="141"/>
      <c r="GFL183" s="141"/>
      <c r="GFM183" s="141"/>
      <c r="GFN183" s="141"/>
      <c r="GFO183" s="141"/>
      <c r="GFP183" s="141"/>
      <c r="GFQ183" s="141"/>
      <c r="GFR183" s="141"/>
      <c r="GFS183" s="141"/>
      <c r="GFT183" s="141"/>
      <c r="GFU183" s="141"/>
      <c r="GFV183" s="141"/>
      <c r="GFW183" s="141"/>
      <c r="GFX183" s="141"/>
      <c r="GFY183" s="141"/>
      <c r="GFZ183" s="141"/>
      <c r="GGA183" s="141"/>
      <c r="GGB183" s="141"/>
      <c r="GGC183" s="141"/>
      <c r="GGD183" s="141"/>
      <c r="GGE183" s="141"/>
      <c r="GGF183" s="141"/>
      <c r="GGG183" s="141"/>
      <c r="GGH183" s="141"/>
      <c r="GGI183" s="141"/>
      <c r="GGJ183" s="141"/>
      <c r="GGK183" s="141"/>
      <c r="GGL183" s="141"/>
      <c r="GGM183" s="141"/>
      <c r="GGN183" s="141"/>
      <c r="GGO183" s="141"/>
      <c r="GGP183" s="141"/>
      <c r="GGQ183" s="141"/>
      <c r="GGR183" s="141"/>
      <c r="GGS183" s="141"/>
      <c r="GGT183" s="141"/>
      <c r="GGU183" s="141"/>
      <c r="GGV183" s="141"/>
      <c r="GGW183" s="141"/>
      <c r="GGX183" s="141"/>
      <c r="GGY183" s="141"/>
      <c r="GGZ183" s="141"/>
      <c r="GHA183" s="141"/>
      <c r="GHB183" s="141"/>
      <c r="GHC183" s="141"/>
      <c r="GHD183" s="141"/>
      <c r="GHE183" s="141"/>
      <c r="GHF183" s="141"/>
      <c r="GHG183" s="141"/>
      <c r="GHH183" s="141"/>
      <c r="GHI183" s="141"/>
      <c r="GHJ183" s="141"/>
      <c r="GHK183" s="141"/>
      <c r="GHL183" s="141"/>
      <c r="GHM183" s="141"/>
      <c r="GHN183" s="141"/>
      <c r="GHO183" s="141"/>
      <c r="GHP183" s="141"/>
      <c r="GHQ183" s="141"/>
      <c r="GHR183" s="141"/>
      <c r="GHS183" s="141"/>
      <c r="GHT183" s="141"/>
      <c r="GHU183" s="141"/>
      <c r="GHV183" s="141"/>
      <c r="GHW183" s="141"/>
      <c r="GHX183" s="141"/>
      <c r="GHY183" s="141"/>
      <c r="GHZ183" s="141"/>
      <c r="GIA183" s="141"/>
      <c r="GIB183" s="141"/>
      <c r="GIC183" s="141"/>
      <c r="GID183" s="141"/>
      <c r="GIE183" s="141"/>
      <c r="GIF183" s="141"/>
      <c r="GIG183" s="141"/>
      <c r="GIH183" s="141"/>
      <c r="GII183" s="141"/>
      <c r="GIJ183" s="141"/>
      <c r="GIK183" s="141"/>
      <c r="GIL183" s="141"/>
      <c r="GIM183" s="141"/>
      <c r="GIN183" s="141"/>
      <c r="GIO183" s="141"/>
      <c r="GIP183" s="141"/>
      <c r="GIQ183" s="141"/>
      <c r="GIR183" s="141"/>
      <c r="GIS183" s="141"/>
      <c r="GIT183" s="141"/>
      <c r="GIU183" s="141"/>
      <c r="GIV183" s="141"/>
      <c r="GIW183" s="141"/>
      <c r="GIX183" s="141"/>
      <c r="GIY183" s="141"/>
      <c r="GIZ183" s="141"/>
      <c r="GJA183" s="141"/>
      <c r="GJB183" s="141"/>
      <c r="GJC183" s="141"/>
      <c r="GJD183" s="141"/>
      <c r="GJE183" s="141"/>
      <c r="GJF183" s="141"/>
      <c r="GJG183" s="141"/>
      <c r="GJH183" s="141"/>
      <c r="GJI183" s="141"/>
      <c r="GJJ183" s="141"/>
      <c r="GJK183" s="141"/>
      <c r="GJL183" s="141"/>
      <c r="GJM183" s="141"/>
      <c r="GJN183" s="141"/>
      <c r="GJO183" s="141"/>
      <c r="GJP183" s="141"/>
      <c r="GJQ183" s="141"/>
      <c r="GJR183" s="141"/>
      <c r="GJS183" s="141"/>
      <c r="GJT183" s="141"/>
      <c r="GJU183" s="141"/>
      <c r="GJV183" s="141"/>
      <c r="GJW183" s="141"/>
      <c r="GJX183" s="141"/>
      <c r="GJY183" s="141"/>
      <c r="GJZ183" s="141"/>
      <c r="GKA183" s="141"/>
      <c r="GKB183" s="141"/>
      <c r="GKC183" s="141"/>
      <c r="GKD183" s="141"/>
      <c r="GKE183" s="141"/>
      <c r="GKF183" s="141"/>
      <c r="GKG183" s="141"/>
      <c r="GKH183" s="141"/>
      <c r="GKI183" s="141"/>
      <c r="GKJ183" s="141"/>
      <c r="GKK183" s="141"/>
      <c r="GKL183" s="141"/>
      <c r="GKM183" s="141"/>
      <c r="GKN183" s="141"/>
      <c r="GKO183" s="141"/>
      <c r="GKP183" s="141"/>
      <c r="GKQ183" s="141"/>
      <c r="GKR183" s="141"/>
      <c r="GKS183" s="141"/>
      <c r="GKT183" s="141"/>
      <c r="GKU183" s="141"/>
      <c r="GKV183" s="141"/>
      <c r="GKW183" s="141"/>
      <c r="GKX183" s="141"/>
      <c r="GKY183" s="141"/>
      <c r="GKZ183" s="141"/>
      <c r="GLA183" s="141"/>
      <c r="GLB183" s="141"/>
      <c r="GLC183" s="141"/>
      <c r="GLD183" s="141"/>
      <c r="GLE183" s="141"/>
      <c r="GLF183" s="141"/>
      <c r="GLG183" s="141"/>
      <c r="GLH183" s="141"/>
      <c r="GLI183" s="141"/>
      <c r="GLJ183" s="141"/>
      <c r="GLK183" s="141"/>
      <c r="GLL183" s="141"/>
      <c r="GLM183" s="141"/>
      <c r="GLN183" s="141"/>
      <c r="GLO183" s="141"/>
      <c r="GLP183" s="141"/>
      <c r="GLQ183" s="141"/>
      <c r="GLR183" s="141"/>
      <c r="GLS183" s="141"/>
      <c r="GLT183" s="141"/>
      <c r="GLU183" s="141"/>
      <c r="GLV183" s="141"/>
      <c r="GLW183" s="141"/>
      <c r="GLX183" s="141"/>
      <c r="GLY183" s="141"/>
      <c r="GLZ183" s="141"/>
      <c r="GMA183" s="141"/>
      <c r="GMB183" s="141"/>
      <c r="GMC183" s="141"/>
      <c r="GMD183" s="141"/>
      <c r="GME183" s="141"/>
      <c r="GMF183" s="141"/>
      <c r="GMG183" s="141"/>
      <c r="GMH183" s="141"/>
      <c r="GMI183" s="141"/>
      <c r="GMJ183" s="141"/>
      <c r="GMK183" s="141"/>
      <c r="GML183" s="141"/>
      <c r="GMM183" s="141"/>
      <c r="GMN183" s="141"/>
      <c r="GMO183" s="141"/>
      <c r="GMP183" s="141"/>
      <c r="GMQ183" s="141"/>
      <c r="GMR183" s="141"/>
      <c r="GMS183" s="141"/>
      <c r="GMT183" s="141"/>
      <c r="GMU183" s="141"/>
      <c r="GMV183" s="141"/>
      <c r="GMW183" s="141"/>
      <c r="GMX183" s="141"/>
      <c r="GMY183" s="141"/>
      <c r="GMZ183" s="141"/>
      <c r="GNA183" s="141"/>
      <c r="GNB183" s="141"/>
      <c r="GNC183" s="141"/>
      <c r="GND183" s="141"/>
      <c r="GNE183" s="141"/>
      <c r="GNF183" s="141"/>
      <c r="GNG183" s="141"/>
      <c r="GNH183" s="141"/>
      <c r="GNI183" s="141"/>
      <c r="GNJ183" s="141"/>
      <c r="GNK183" s="141"/>
      <c r="GNL183" s="141"/>
      <c r="GNM183" s="141"/>
      <c r="GNN183" s="141"/>
      <c r="GNO183" s="141"/>
      <c r="GNP183" s="141"/>
      <c r="GNQ183" s="141"/>
      <c r="GNR183" s="141"/>
      <c r="GNS183" s="141"/>
      <c r="GNT183" s="141"/>
      <c r="GNU183" s="141"/>
      <c r="GNV183" s="141"/>
      <c r="GNW183" s="141"/>
      <c r="GNX183" s="141"/>
      <c r="GNY183" s="141"/>
      <c r="GNZ183" s="141"/>
      <c r="GOA183" s="141"/>
      <c r="GOB183" s="141"/>
      <c r="GOC183" s="141"/>
      <c r="GOD183" s="141"/>
      <c r="GOE183" s="141"/>
      <c r="GOF183" s="141"/>
      <c r="GOG183" s="141"/>
      <c r="GOH183" s="141"/>
      <c r="GOI183" s="141"/>
      <c r="GOJ183" s="141"/>
      <c r="GOK183" s="141"/>
      <c r="GOL183" s="141"/>
      <c r="GOM183" s="141"/>
      <c r="GON183" s="141"/>
      <c r="GOO183" s="141"/>
      <c r="GOP183" s="141"/>
      <c r="GOQ183" s="141"/>
      <c r="GOR183" s="141"/>
      <c r="GOS183" s="141"/>
      <c r="GOT183" s="141"/>
      <c r="GOU183" s="141"/>
      <c r="GOV183" s="141"/>
      <c r="GOW183" s="141"/>
      <c r="GOX183" s="141"/>
      <c r="GOY183" s="141"/>
      <c r="GOZ183" s="141"/>
      <c r="GPA183" s="141"/>
      <c r="GPB183" s="141"/>
      <c r="GPC183" s="141"/>
      <c r="GPD183" s="141"/>
      <c r="GPE183" s="141"/>
      <c r="GPF183" s="141"/>
      <c r="GPG183" s="141"/>
      <c r="GPH183" s="141"/>
      <c r="GPI183" s="141"/>
      <c r="GPJ183" s="141"/>
      <c r="GPK183" s="141"/>
      <c r="GPL183" s="141"/>
      <c r="GPM183" s="141"/>
      <c r="GPN183" s="141"/>
      <c r="GPO183" s="141"/>
      <c r="GPP183" s="141"/>
      <c r="GPQ183" s="141"/>
      <c r="GPR183" s="141"/>
      <c r="GPS183" s="141"/>
      <c r="GPT183" s="141"/>
      <c r="GPU183" s="141"/>
      <c r="GPV183" s="141"/>
      <c r="GPW183" s="141"/>
      <c r="GPX183" s="141"/>
      <c r="GPY183" s="141"/>
      <c r="GPZ183" s="141"/>
      <c r="GQA183" s="141"/>
      <c r="GQB183" s="141"/>
      <c r="GQC183" s="141"/>
      <c r="GQD183" s="141"/>
      <c r="GQE183" s="141"/>
      <c r="GQF183" s="141"/>
      <c r="GQG183" s="141"/>
      <c r="GQH183" s="141"/>
      <c r="GQI183" s="141"/>
      <c r="GQJ183" s="141"/>
      <c r="GQK183" s="141"/>
      <c r="GQL183" s="141"/>
      <c r="GQM183" s="141"/>
      <c r="GQN183" s="141"/>
      <c r="GQO183" s="141"/>
      <c r="GQP183" s="141"/>
      <c r="GQQ183" s="141"/>
      <c r="GQR183" s="141"/>
      <c r="GQS183" s="141"/>
      <c r="GQT183" s="141"/>
      <c r="GQU183" s="141"/>
      <c r="GQV183" s="141"/>
      <c r="GQW183" s="141"/>
      <c r="GQX183" s="141"/>
      <c r="GQY183" s="141"/>
      <c r="GQZ183" s="141"/>
      <c r="GRA183" s="141"/>
      <c r="GRB183" s="141"/>
      <c r="GRC183" s="141"/>
      <c r="GRD183" s="141"/>
      <c r="GRE183" s="141"/>
      <c r="GRF183" s="141"/>
      <c r="GRG183" s="141"/>
      <c r="GRH183" s="141"/>
      <c r="GRI183" s="141"/>
      <c r="GRJ183" s="141"/>
      <c r="GRK183" s="141"/>
      <c r="GRL183" s="141"/>
      <c r="GRM183" s="141"/>
      <c r="GRN183" s="141"/>
      <c r="GRO183" s="141"/>
      <c r="GRP183" s="141"/>
      <c r="GRQ183" s="141"/>
      <c r="GRR183" s="141"/>
      <c r="GRS183" s="141"/>
      <c r="GRT183" s="141"/>
      <c r="GRU183" s="141"/>
      <c r="GRV183" s="141"/>
      <c r="GRW183" s="141"/>
      <c r="GRX183" s="141"/>
      <c r="GRY183" s="141"/>
      <c r="GRZ183" s="141"/>
      <c r="GSA183" s="141"/>
      <c r="GSB183" s="141"/>
      <c r="GSC183" s="141"/>
      <c r="GSD183" s="141"/>
      <c r="GSE183" s="141"/>
      <c r="GSF183" s="141"/>
      <c r="GSG183" s="141"/>
      <c r="GSH183" s="141"/>
      <c r="GSI183" s="141"/>
      <c r="GSJ183" s="141"/>
      <c r="GSK183" s="141"/>
      <c r="GSL183" s="141"/>
      <c r="GSM183" s="141"/>
      <c r="GSN183" s="141"/>
      <c r="GSO183" s="141"/>
      <c r="GSP183" s="141"/>
      <c r="GSQ183" s="141"/>
      <c r="GSR183" s="141"/>
      <c r="GSS183" s="141"/>
      <c r="GST183" s="141"/>
      <c r="GSU183" s="141"/>
      <c r="GSV183" s="141"/>
      <c r="GSW183" s="141"/>
      <c r="GSX183" s="141"/>
      <c r="GSY183" s="141"/>
      <c r="GSZ183" s="141"/>
      <c r="GTA183" s="141"/>
      <c r="GTB183" s="141"/>
      <c r="GTC183" s="141"/>
      <c r="GTD183" s="141"/>
      <c r="GTE183" s="141"/>
      <c r="GTF183" s="141"/>
      <c r="GTG183" s="141"/>
      <c r="GTH183" s="141"/>
      <c r="GTI183" s="141"/>
      <c r="GTJ183" s="141"/>
      <c r="GTK183" s="141"/>
      <c r="GTL183" s="141"/>
      <c r="GTM183" s="141"/>
      <c r="GTN183" s="141"/>
      <c r="GTO183" s="141"/>
      <c r="GTP183" s="141"/>
      <c r="GTQ183" s="141"/>
      <c r="GTR183" s="141"/>
      <c r="GTS183" s="141"/>
      <c r="GTT183" s="141"/>
      <c r="GTU183" s="141"/>
      <c r="GTV183" s="141"/>
      <c r="GTW183" s="141"/>
      <c r="GTX183" s="141"/>
      <c r="GTY183" s="141"/>
      <c r="GTZ183" s="141"/>
      <c r="GUA183" s="141"/>
      <c r="GUB183" s="141"/>
      <c r="GUC183" s="141"/>
      <c r="GUD183" s="141"/>
      <c r="GUE183" s="141"/>
      <c r="GUF183" s="141"/>
      <c r="GUG183" s="141"/>
      <c r="GUH183" s="141"/>
      <c r="GUI183" s="141"/>
      <c r="GUJ183" s="141"/>
      <c r="GUK183" s="141"/>
      <c r="GUL183" s="141"/>
      <c r="GUM183" s="141"/>
      <c r="GUN183" s="141"/>
      <c r="GUO183" s="141"/>
      <c r="GUP183" s="141"/>
      <c r="GUQ183" s="141"/>
      <c r="GUR183" s="141"/>
      <c r="GUS183" s="141"/>
      <c r="GUT183" s="141"/>
      <c r="GUU183" s="141"/>
      <c r="GUV183" s="141"/>
      <c r="GUW183" s="141"/>
      <c r="GUX183" s="141"/>
      <c r="GUY183" s="141"/>
      <c r="GUZ183" s="141"/>
      <c r="GVA183" s="141"/>
      <c r="GVB183" s="141"/>
      <c r="GVC183" s="141"/>
      <c r="GVD183" s="141"/>
      <c r="GVE183" s="141"/>
      <c r="GVF183" s="141"/>
      <c r="GVG183" s="141"/>
      <c r="GVH183" s="141"/>
      <c r="GVI183" s="141"/>
      <c r="GVJ183" s="141"/>
      <c r="GVK183" s="141"/>
      <c r="GVL183" s="141"/>
      <c r="GVM183" s="141"/>
      <c r="GVN183" s="141"/>
      <c r="GVO183" s="141"/>
      <c r="GVP183" s="141"/>
      <c r="GVQ183" s="141"/>
      <c r="GVR183" s="141"/>
      <c r="GVS183" s="141"/>
      <c r="GVT183" s="141"/>
      <c r="GVU183" s="141"/>
      <c r="GVV183" s="141"/>
      <c r="GVW183" s="141"/>
      <c r="GVX183" s="141"/>
      <c r="GVY183" s="141"/>
      <c r="GVZ183" s="141"/>
      <c r="GWA183" s="141"/>
      <c r="GWB183" s="141"/>
      <c r="GWC183" s="141"/>
      <c r="GWD183" s="141"/>
      <c r="GWE183" s="141"/>
      <c r="GWF183" s="141"/>
      <c r="GWG183" s="141"/>
      <c r="GWH183" s="141"/>
      <c r="GWI183" s="141"/>
      <c r="GWJ183" s="141"/>
      <c r="GWK183" s="141"/>
      <c r="GWL183" s="141"/>
      <c r="GWM183" s="141"/>
      <c r="GWN183" s="141"/>
      <c r="GWO183" s="141"/>
      <c r="GWP183" s="141"/>
      <c r="GWQ183" s="141"/>
      <c r="GWR183" s="141"/>
      <c r="GWS183" s="141"/>
      <c r="GWT183" s="141"/>
      <c r="GWU183" s="141"/>
      <c r="GWV183" s="141"/>
      <c r="GWW183" s="141"/>
      <c r="GWX183" s="141"/>
      <c r="GWY183" s="141"/>
      <c r="GWZ183" s="141"/>
      <c r="GXA183" s="141"/>
      <c r="GXB183" s="141"/>
      <c r="GXC183" s="141"/>
      <c r="GXD183" s="141"/>
      <c r="GXE183" s="141"/>
      <c r="GXF183" s="141"/>
      <c r="GXG183" s="141"/>
      <c r="GXH183" s="141"/>
      <c r="GXI183" s="141"/>
      <c r="GXJ183" s="141"/>
      <c r="GXK183" s="141"/>
      <c r="GXL183" s="141"/>
      <c r="GXM183" s="141"/>
      <c r="GXN183" s="141"/>
      <c r="GXO183" s="141"/>
      <c r="GXP183" s="141"/>
      <c r="GXQ183" s="141"/>
      <c r="GXR183" s="141"/>
      <c r="GXS183" s="141"/>
      <c r="GXT183" s="141"/>
      <c r="GXU183" s="141"/>
      <c r="GXV183" s="141"/>
      <c r="GXW183" s="141"/>
      <c r="GXX183" s="141"/>
      <c r="GXY183" s="141"/>
      <c r="GXZ183" s="141"/>
      <c r="GYA183" s="141"/>
      <c r="GYB183" s="141"/>
      <c r="GYC183" s="141"/>
      <c r="GYD183" s="141"/>
      <c r="GYE183" s="141"/>
      <c r="GYF183" s="141"/>
      <c r="GYG183" s="141"/>
      <c r="GYH183" s="141"/>
      <c r="GYI183" s="141"/>
      <c r="GYJ183" s="141"/>
      <c r="GYK183" s="141"/>
      <c r="GYL183" s="141"/>
      <c r="GYM183" s="141"/>
      <c r="GYN183" s="141"/>
      <c r="GYO183" s="141"/>
      <c r="GYP183" s="141"/>
      <c r="GYQ183" s="141"/>
      <c r="GYR183" s="141"/>
      <c r="GYS183" s="141"/>
      <c r="GYT183" s="141"/>
      <c r="GYU183" s="141"/>
      <c r="GYV183" s="141"/>
      <c r="GYW183" s="141"/>
      <c r="GYX183" s="141"/>
      <c r="GYY183" s="141"/>
      <c r="GYZ183" s="141"/>
      <c r="GZA183" s="141"/>
      <c r="GZB183" s="141"/>
      <c r="GZC183" s="141"/>
      <c r="GZD183" s="141"/>
      <c r="GZE183" s="141"/>
      <c r="GZF183" s="141"/>
      <c r="GZG183" s="141"/>
      <c r="GZH183" s="141"/>
      <c r="GZI183" s="141"/>
      <c r="GZJ183" s="141"/>
      <c r="GZK183" s="141"/>
      <c r="GZL183" s="141"/>
      <c r="GZM183" s="141"/>
      <c r="GZN183" s="141"/>
      <c r="GZO183" s="141"/>
      <c r="GZP183" s="141"/>
      <c r="GZQ183" s="141"/>
      <c r="GZR183" s="141"/>
      <c r="GZS183" s="141"/>
      <c r="GZT183" s="141"/>
      <c r="GZU183" s="141"/>
      <c r="GZV183" s="141"/>
      <c r="GZW183" s="141"/>
      <c r="GZX183" s="141"/>
      <c r="GZY183" s="141"/>
      <c r="GZZ183" s="141"/>
      <c r="HAA183" s="141"/>
      <c r="HAB183" s="141"/>
      <c r="HAC183" s="141"/>
      <c r="HAD183" s="141"/>
      <c r="HAE183" s="141"/>
      <c r="HAF183" s="141"/>
      <c r="HAG183" s="141"/>
      <c r="HAH183" s="141"/>
      <c r="HAI183" s="141"/>
      <c r="HAJ183" s="141"/>
      <c r="HAK183" s="141"/>
      <c r="HAL183" s="141"/>
      <c r="HAM183" s="141"/>
      <c r="HAN183" s="141"/>
      <c r="HAO183" s="141"/>
      <c r="HAP183" s="141"/>
      <c r="HAQ183" s="141"/>
      <c r="HAR183" s="141"/>
      <c r="HAS183" s="141"/>
      <c r="HAT183" s="141"/>
      <c r="HAU183" s="141"/>
      <c r="HAV183" s="141"/>
      <c r="HAW183" s="141"/>
      <c r="HAX183" s="141"/>
      <c r="HAY183" s="141"/>
      <c r="HAZ183" s="141"/>
      <c r="HBA183" s="141"/>
      <c r="HBB183" s="141"/>
      <c r="HBC183" s="141"/>
      <c r="HBD183" s="141"/>
      <c r="HBE183" s="141"/>
      <c r="HBF183" s="141"/>
      <c r="HBG183" s="141"/>
      <c r="HBH183" s="141"/>
      <c r="HBI183" s="141"/>
      <c r="HBJ183" s="141"/>
      <c r="HBK183" s="141"/>
      <c r="HBL183" s="141"/>
      <c r="HBM183" s="141"/>
      <c r="HBN183" s="141"/>
      <c r="HBO183" s="141"/>
      <c r="HBP183" s="141"/>
      <c r="HBQ183" s="141"/>
      <c r="HBR183" s="141"/>
      <c r="HBS183" s="141"/>
      <c r="HBT183" s="141"/>
      <c r="HBU183" s="141"/>
      <c r="HBV183" s="141"/>
      <c r="HBW183" s="141"/>
      <c r="HBX183" s="141"/>
      <c r="HBY183" s="141"/>
      <c r="HBZ183" s="141"/>
      <c r="HCA183" s="141"/>
      <c r="HCB183" s="141"/>
      <c r="HCC183" s="141"/>
      <c r="HCD183" s="141"/>
      <c r="HCE183" s="141"/>
      <c r="HCF183" s="141"/>
      <c r="HCG183" s="141"/>
      <c r="HCH183" s="141"/>
      <c r="HCI183" s="141"/>
      <c r="HCJ183" s="141"/>
      <c r="HCK183" s="141"/>
      <c r="HCL183" s="141"/>
      <c r="HCM183" s="141"/>
      <c r="HCN183" s="141"/>
      <c r="HCO183" s="141"/>
      <c r="HCP183" s="141"/>
      <c r="HCQ183" s="141"/>
      <c r="HCR183" s="141"/>
      <c r="HCS183" s="141"/>
      <c r="HCT183" s="141"/>
      <c r="HCU183" s="141"/>
      <c r="HCV183" s="141"/>
      <c r="HCW183" s="141"/>
      <c r="HCX183" s="141"/>
      <c r="HCY183" s="141"/>
      <c r="HCZ183" s="141"/>
      <c r="HDA183" s="141"/>
      <c r="HDB183" s="141"/>
      <c r="HDC183" s="141"/>
      <c r="HDD183" s="141"/>
      <c r="HDE183" s="141"/>
      <c r="HDF183" s="141"/>
      <c r="HDG183" s="141"/>
      <c r="HDH183" s="141"/>
      <c r="HDI183" s="141"/>
      <c r="HDJ183" s="141"/>
      <c r="HDK183" s="141"/>
      <c r="HDL183" s="141"/>
      <c r="HDM183" s="141"/>
      <c r="HDN183" s="141"/>
      <c r="HDO183" s="141"/>
      <c r="HDP183" s="141"/>
      <c r="HDQ183" s="141"/>
      <c r="HDR183" s="141"/>
      <c r="HDS183" s="141"/>
      <c r="HDT183" s="141"/>
      <c r="HDU183" s="141"/>
      <c r="HDV183" s="141"/>
      <c r="HDW183" s="141"/>
      <c r="HDX183" s="141"/>
      <c r="HDY183" s="141"/>
      <c r="HDZ183" s="141"/>
      <c r="HEA183" s="141"/>
      <c r="HEB183" s="141"/>
      <c r="HEC183" s="141"/>
      <c r="HED183" s="141"/>
      <c r="HEE183" s="141"/>
      <c r="HEF183" s="141"/>
      <c r="HEG183" s="141"/>
      <c r="HEH183" s="141"/>
      <c r="HEI183" s="141"/>
      <c r="HEJ183" s="141"/>
      <c r="HEK183" s="141"/>
      <c r="HEL183" s="141"/>
      <c r="HEM183" s="141"/>
      <c r="HEN183" s="141"/>
      <c r="HEO183" s="141"/>
      <c r="HEP183" s="141"/>
      <c r="HEQ183" s="141"/>
      <c r="HER183" s="141"/>
      <c r="HES183" s="141"/>
      <c r="HET183" s="141"/>
      <c r="HEU183" s="141"/>
      <c r="HEV183" s="141"/>
      <c r="HEW183" s="141"/>
      <c r="HEX183" s="141"/>
      <c r="HEY183" s="141"/>
      <c r="HEZ183" s="141"/>
      <c r="HFA183" s="141"/>
      <c r="HFB183" s="141"/>
      <c r="HFC183" s="141"/>
      <c r="HFD183" s="141"/>
      <c r="HFE183" s="141"/>
      <c r="HFF183" s="141"/>
      <c r="HFG183" s="141"/>
      <c r="HFH183" s="141"/>
      <c r="HFI183" s="141"/>
      <c r="HFJ183" s="141"/>
      <c r="HFK183" s="141"/>
      <c r="HFL183" s="141"/>
      <c r="HFM183" s="141"/>
      <c r="HFN183" s="141"/>
      <c r="HFO183" s="141"/>
      <c r="HFP183" s="141"/>
      <c r="HFQ183" s="141"/>
      <c r="HFR183" s="141"/>
      <c r="HFS183" s="141"/>
      <c r="HFT183" s="141"/>
      <c r="HFU183" s="141"/>
      <c r="HFV183" s="141"/>
      <c r="HFW183" s="141"/>
      <c r="HFX183" s="141"/>
      <c r="HFY183" s="141"/>
      <c r="HFZ183" s="141"/>
      <c r="HGA183" s="141"/>
      <c r="HGB183" s="141"/>
      <c r="HGC183" s="141"/>
      <c r="HGD183" s="141"/>
      <c r="HGE183" s="141"/>
      <c r="HGF183" s="141"/>
      <c r="HGG183" s="141"/>
      <c r="HGH183" s="141"/>
      <c r="HGI183" s="141"/>
      <c r="HGJ183" s="141"/>
      <c r="HGK183" s="141"/>
      <c r="HGL183" s="141"/>
      <c r="HGM183" s="141"/>
      <c r="HGN183" s="141"/>
      <c r="HGO183" s="141"/>
      <c r="HGP183" s="141"/>
      <c r="HGQ183" s="141"/>
      <c r="HGR183" s="141"/>
      <c r="HGS183" s="141"/>
      <c r="HGT183" s="141"/>
      <c r="HGU183" s="141"/>
      <c r="HGV183" s="141"/>
      <c r="HGW183" s="141"/>
      <c r="HGX183" s="141"/>
      <c r="HGY183" s="141"/>
      <c r="HGZ183" s="141"/>
      <c r="HHA183" s="141"/>
      <c r="HHB183" s="141"/>
      <c r="HHC183" s="141"/>
      <c r="HHD183" s="141"/>
      <c r="HHE183" s="141"/>
      <c r="HHF183" s="141"/>
      <c r="HHG183" s="141"/>
      <c r="HHH183" s="141"/>
      <c r="HHI183" s="141"/>
      <c r="HHJ183" s="141"/>
      <c r="HHK183" s="141"/>
      <c r="HHL183" s="141"/>
      <c r="HHM183" s="141"/>
      <c r="HHN183" s="141"/>
      <c r="HHO183" s="141"/>
      <c r="HHP183" s="141"/>
      <c r="HHQ183" s="141"/>
      <c r="HHR183" s="141"/>
      <c r="HHS183" s="141"/>
      <c r="HHT183" s="141"/>
      <c r="HHU183" s="141"/>
      <c r="HHV183" s="141"/>
      <c r="HHW183" s="141"/>
      <c r="HHX183" s="141"/>
      <c r="HHY183" s="141"/>
      <c r="HHZ183" s="141"/>
      <c r="HIA183" s="141"/>
      <c r="HIB183" s="141"/>
      <c r="HIC183" s="141"/>
      <c r="HID183" s="141"/>
      <c r="HIE183" s="141"/>
      <c r="HIF183" s="141"/>
      <c r="HIG183" s="141"/>
      <c r="HIH183" s="141"/>
      <c r="HII183" s="141"/>
      <c r="HIJ183" s="141"/>
      <c r="HIK183" s="141"/>
      <c r="HIL183" s="141"/>
      <c r="HIM183" s="141"/>
      <c r="HIN183" s="141"/>
      <c r="HIO183" s="141"/>
      <c r="HIP183" s="141"/>
      <c r="HIQ183" s="141"/>
      <c r="HIR183" s="141"/>
      <c r="HIS183" s="141"/>
      <c r="HIT183" s="141"/>
      <c r="HIU183" s="141"/>
      <c r="HIV183" s="141"/>
      <c r="HIW183" s="141"/>
      <c r="HIX183" s="141"/>
      <c r="HIY183" s="141"/>
      <c r="HIZ183" s="141"/>
      <c r="HJA183" s="141"/>
      <c r="HJB183" s="141"/>
      <c r="HJC183" s="141"/>
      <c r="HJD183" s="141"/>
      <c r="HJE183" s="141"/>
      <c r="HJF183" s="141"/>
      <c r="HJG183" s="141"/>
      <c r="HJH183" s="141"/>
      <c r="HJI183" s="141"/>
      <c r="HJJ183" s="141"/>
      <c r="HJK183" s="141"/>
      <c r="HJL183" s="141"/>
      <c r="HJM183" s="141"/>
      <c r="HJN183" s="141"/>
      <c r="HJO183" s="141"/>
      <c r="HJP183" s="141"/>
      <c r="HJQ183" s="141"/>
      <c r="HJR183" s="141"/>
      <c r="HJS183" s="141"/>
      <c r="HJT183" s="141"/>
      <c r="HJU183" s="141"/>
      <c r="HJV183" s="141"/>
      <c r="HJW183" s="141"/>
      <c r="HJX183" s="141"/>
      <c r="HJY183" s="141"/>
      <c r="HJZ183" s="141"/>
      <c r="HKA183" s="141"/>
      <c r="HKB183" s="141"/>
      <c r="HKC183" s="141"/>
      <c r="HKD183" s="141"/>
      <c r="HKE183" s="141"/>
      <c r="HKF183" s="141"/>
      <c r="HKG183" s="141"/>
      <c r="HKH183" s="141"/>
      <c r="HKI183" s="141"/>
      <c r="HKJ183" s="141"/>
      <c r="HKK183" s="141"/>
      <c r="HKL183" s="141"/>
      <c r="HKM183" s="141"/>
      <c r="HKN183" s="141"/>
      <c r="HKO183" s="141"/>
      <c r="HKP183" s="141"/>
      <c r="HKQ183" s="141"/>
      <c r="HKR183" s="141"/>
      <c r="HKS183" s="141"/>
      <c r="HKT183" s="141"/>
      <c r="HKU183" s="141"/>
      <c r="HKV183" s="141"/>
      <c r="HKW183" s="141"/>
      <c r="HKX183" s="141"/>
      <c r="HKY183" s="141"/>
      <c r="HKZ183" s="141"/>
      <c r="HLA183" s="141"/>
      <c r="HLB183" s="141"/>
      <c r="HLC183" s="141"/>
      <c r="HLD183" s="141"/>
      <c r="HLE183" s="141"/>
      <c r="HLF183" s="141"/>
      <c r="HLG183" s="141"/>
      <c r="HLH183" s="141"/>
      <c r="HLI183" s="141"/>
      <c r="HLJ183" s="141"/>
      <c r="HLK183" s="141"/>
      <c r="HLL183" s="141"/>
      <c r="HLM183" s="141"/>
      <c r="HLN183" s="141"/>
      <c r="HLO183" s="141"/>
      <c r="HLP183" s="141"/>
      <c r="HLQ183" s="141"/>
      <c r="HLR183" s="141"/>
      <c r="HLS183" s="141"/>
      <c r="HLT183" s="141"/>
      <c r="HLU183" s="141"/>
      <c r="HLV183" s="141"/>
      <c r="HLW183" s="141"/>
      <c r="HLX183" s="141"/>
      <c r="HLY183" s="141"/>
      <c r="HLZ183" s="141"/>
      <c r="HMA183" s="141"/>
      <c r="HMB183" s="141"/>
      <c r="HMC183" s="141"/>
      <c r="HMD183" s="141"/>
      <c r="HME183" s="141"/>
      <c r="HMF183" s="141"/>
      <c r="HMG183" s="141"/>
      <c r="HMH183" s="141"/>
      <c r="HMI183" s="141"/>
      <c r="HMJ183" s="141"/>
      <c r="HMK183" s="141"/>
      <c r="HML183" s="141"/>
      <c r="HMM183" s="141"/>
      <c r="HMN183" s="141"/>
      <c r="HMO183" s="141"/>
      <c r="HMP183" s="141"/>
      <c r="HMQ183" s="141"/>
      <c r="HMR183" s="141"/>
      <c r="HMS183" s="141"/>
      <c r="HMT183" s="141"/>
      <c r="HMU183" s="141"/>
      <c r="HMV183" s="141"/>
      <c r="HMW183" s="141"/>
      <c r="HMX183" s="141"/>
      <c r="HMY183" s="141"/>
      <c r="HMZ183" s="141"/>
      <c r="HNA183" s="141"/>
      <c r="HNB183" s="141"/>
      <c r="HNC183" s="141"/>
      <c r="HND183" s="141"/>
      <c r="HNE183" s="141"/>
      <c r="HNF183" s="141"/>
      <c r="HNG183" s="141"/>
      <c r="HNH183" s="141"/>
      <c r="HNI183" s="141"/>
      <c r="HNJ183" s="141"/>
      <c r="HNK183" s="141"/>
      <c r="HNL183" s="141"/>
      <c r="HNM183" s="141"/>
      <c r="HNN183" s="141"/>
      <c r="HNO183" s="141"/>
      <c r="HNP183" s="141"/>
      <c r="HNQ183" s="141"/>
      <c r="HNR183" s="141"/>
      <c r="HNS183" s="141"/>
      <c r="HNT183" s="141"/>
      <c r="HNU183" s="141"/>
      <c r="HNV183" s="141"/>
      <c r="HNW183" s="141"/>
      <c r="HNX183" s="141"/>
      <c r="HNY183" s="141"/>
      <c r="HNZ183" s="141"/>
      <c r="HOA183" s="141"/>
      <c r="HOB183" s="141"/>
      <c r="HOC183" s="141"/>
      <c r="HOD183" s="141"/>
      <c r="HOE183" s="141"/>
      <c r="HOF183" s="141"/>
      <c r="HOG183" s="141"/>
      <c r="HOH183" s="141"/>
      <c r="HOI183" s="141"/>
      <c r="HOJ183" s="141"/>
      <c r="HOK183" s="141"/>
      <c r="HOL183" s="141"/>
      <c r="HOM183" s="141"/>
      <c r="HON183" s="141"/>
      <c r="HOO183" s="141"/>
      <c r="HOP183" s="141"/>
      <c r="HOQ183" s="141"/>
      <c r="HOR183" s="141"/>
      <c r="HOS183" s="141"/>
      <c r="HOT183" s="141"/>
      <c r="HOU183" s="141"/>
      <c r="HOV183" s="141"/>
      <c r="HOW183" s="141"/>
      <c r="HOX183" s="141"/>
      <c r="HOY183" s="141"/>
      <c r="HOZ183" s="141"/>
      <c r="HPA183" s="141"/>
      <c r="HPB183" s="141"/>
      <c r="HPC183" s="141"/>
      <c r="HPD183" s="141"/>
      <c r="HPE183" s="141"/>
      <c r="HPF183" s="141"/>
      <c r="HPG183" s="141"/>
      <c r="HPH183" s="141"/>
      <c r="HPI183" s="141"/>
      <c r="HPJ183" s="141"/>
      <c r="HPK183" s="141"/>
      <c r="HPL183" s="141"/>
      <c r="HPM183" s="141"/>
      <c r="HPN183" s="141"/>
      <c r="HPO183" s="141"/>
      <c r="HPP183" s="141"/>
      <c r="HPQ183" s="141"/>
      <c r="HPR183" s="141"/>
      <c r="HPS183" s="141"/>
      <c r="HPT183" s="141"/>
      <c r="HPU183" s="141"/>
      <c r="HPV183" s="141"/>
      <c r="HPW183" s="141"/>
      <c r="HPX183" s="141"/>
      <c r="HPY183" s="141"/>
      <c r="HPZ183" s="141"/>
      <c r="HQA183" s="141"/>
      <c r="HQB183" s="141"/>
      <c r="HQC183" s="141"/>
      <c r="HQD183" s="141"/>
      <c r="HQE183" s="141"/>
      <c r="HQF183" s="141"/>
      <c r="HQG183" s="141"/>
      <c r="HQH183" s="141"/>
      <c r="HQI183" s="141"/>
      <c r="HQJ183" s="141"/>
      <c r="HQK183" s="141"/>
      <c r="HQL183" s="141"/>
      <c r="HQM183" s="141"/>
      <c r="HQN183" s="141"/>
      <c r="HQO183" s="141"/>
      <c r="HQP183" s="141"/>
      <c r="HQQ183" s="141"/>
      <c r="HQR183" s="141"/>
      <c r="HQS183" s="141"/>
      <c r="HQT183" s="141"/>
      <c r="HQU183" s="141"/>
      <c r="HQV183" s="141"/>
      <c r="HQW183" s="141"/>
      <c r="HQX183" s="141"/>
      <c r="HQY183" s="141"/>
      <c r="HQZ183" s="141"/>
      <c r="HRA183" s="141"/>
      <c r="HRB183" s="141"/>
      <c r="HRC183" s="141"/>
      <c r="HRD183" s="141"/>
      <c r="HRE183" s="141"/>
      <c r="HRF183" s="141"/>
      <c r="HRG183" s="141"/>
      <c r="HRH183" s="141"/>
      <c r="HRI183" s="141"/>
      <c r="HRJ183" s="141"/>
      <c r="HRK183" s="141"/>
      <c r="HRL183" s="141"/>
      <c r="HRM183" s="141"/>
      <c r="HRN183" s="141"/>
      <c r="HRO183" s="141"/>
      <c r="HRP183" s="141"/>
      <c r="HRQ183" s="141"/>
      <c r="HRR183" s="141"/>
      <c r="HRS183" s="141"/>
      <c r="HRT183" s="141"/>
      <c r="HRU183" s="141"/>
      <c r="HRV183" s="141"/>
      <c r="HRW183" s="141"/>
      <c r="HRX183" s="141"/>
      <c r="HRY183" s="141"/>
      <c r="HRZ183" s="141"/>
      <c r="HSA183" s="141"/>
      <c r="HSB183" s="141"/>
      <c r="HSC183" s="141"/>
      <c r="HSD183" s="141"/>
      <c r="HSE183" s="141"/>
      <c r="HSF183" s="141"/>
      <c r="HSG183" s="141"/>
      <c r="HSH183" s="141"/>
      <c r="HSI183" s="141"/>
      <c r="HSJ183" s="141"/>
      <c r="HSK183" s="141"/>
      <c r="HSL183" s="141"/>
      <c r="HSM183" s="141"/>
      <c r="HSN183" s="141"/>
      <c r="HSO183" s="141"/>
      <c r="HSP183" s="141"/>
      <c r="HSQ183" s="141"/>
      <c r="HSR183" s="141"/>
      <c r="HSS183" s="141"/>
      <c r="HST183" s="141"/>
      <c r="HSU183" s="141"/>
      <c r="HSV183" s="141"/>
      <c r="HSW183" s="141"/>
      <c r="HSX183" s="141"/>
      <c r="HSY183" s="141"/>
      <c r="HSZ183" s="141"/>
      <c r="HTA183" s="141"/>
      <c r="HTB183" s="141"/>
      <c r="HTC183" s="141"/>
      <c r="HTD183" s="141"/>
      <c r="HTE183" s="141"/>
      <c r="HTF183" s="141"/>
      <c r="HTG183" s="141"/>
      <c r="HTH183" s="141"/>
      <c r="HTI183" s="141"/>
      <c r="HTJ183" s="141"/>
      <c r="HTK183" s="141"/>
      <c r="HTL183" s="141"/>
      <c r="HTM183" s="141"/>
      <c r="HTN183" s="141"/>
      <c r="HTO183" s="141"/>
      <c r="HTP183" s="141"/>
      <c r="HTQ183" s="141"/>
      <c r="HTR183" s="141"/>
      <c r="HTS183" s="141"/>
      <c r="HTT183" s="141"/>
      <c r="HTU183" s="141"/>
      <c r="HTV183" s="141"/>
      <c r="HTW183" s="141"/>
      <c r="HTX183" s="141"/>
      <c r="HTY183" s="141"/>
      <c r="HTZ183" s="141"/>
      <c r="HUA183" s="141"/>
      <c r="HUB183" s="141"/>
      <c r="HUC183" s="141"/>
      <c r="HUD183" s="141"/>
      <c r="HUE183" s="141"/>
      <c r="HUF183" s="141"/>
      <c r="HUG183" s="141"/>
      <c r="HUH183" s="141"/>
      <c r="HUI183" s="141"/>
      <c r="HUJ183" s="141"/>
      <c r="HUK183" s="141"/>
      <c r="HUL183" s="141"/>
      <c r="HUM183" s="141"/>
      <c r="HUN183" s="141"/>
      <c r="HUO183" s="141"/>
      <c r="HUP183" s="141"/>
      <c r="HUQ183" s="141"/>
      <c r="HUR183" s="141"/>
      <c r="HUS183" s="141"/>
      <c r="HUT183" s="141"/>
      <c r="HUU183" s="141"/>
      <c r="HUV183" s="141"/>
      <c r="HUW183" s="141"/>
      <c r="HUX183" s="141"/>
      <c r="HUY183" s="141"/>
      <c r="HUZ183" s="141"/>
      <c r="HVA183" s="141"/>
      <c r="HVB183" s="141"/>
      <c r="HVC183" s="141"/>
      <c r="HVD183" s="141"/>
      <c r="HVE183" s="141"/>
      <c r="HVF183" s="141"/>
      <c r="HVG183" s="141"/>
      <c r="HVH183" s="141"/>
      <c r="HVI183" s="141"/>
      <c r="HVJ183" s="141"/>
      <c r="HVK183" s="141"/>
      <c r="HVL183" s="141"/>
      <c r="HVM183" s="141"/>
      <c r="HVN183" s="141"/>
      <c r="HVO183" s="141"/>
      <c r="HVP183" s="141"/>
      <c r="HVQ183" s="141"/>
      <c r="HVR183" s="141"/>
      <c r="HVS183" s="141"/>
      <c r="HVT183" s="141"/>
      <c r="HVU183" s="141"/>
      <c r="HVV183" s="141"/>
      <c r="HVW183" s="141"/>
      <c r="HVX183" s="141"/>
      <c r="HVY183" s="141"/>
      <c r="HVZ183" s="141"/>
      <c r="HWA183" s="141"/>
      <c r="HWB183" s="141"/>
      <c r="HWC183" s="141"/>
      <c r="HWD183" s="141"/>
      <c r="HWE183" s="141"/>
      <c r="HWF183" s="141"/>
      <c r="HWG183" s="141"/>
      <c r="HWH183" s="141"/>
      <c r="HWI183" s="141"/>
      <c r="HWJ183" s="141"/>
      <c r="HWK183" s="141"/>
      <c r="HWL183" s="141"/>
      <c r="HWM183" s="141"/>
      <c r="HWN183" s="141"/>
      <c r="HWO183" s="141"/>
      <c r="HWP183" s="141"/>
      <c r="HWQ183" s="141"/>
      <c r="HWR183" s="141"/>
      <c r="HWS183" s="141"/>
      <c r="HWT183" s="141"/>
      <c r="HWU183" s="141"/>
      <c r="HWV183" s="141"/>
      <c r="HWW183" s="141"/>
      <c r="HWX183" s="141"/>
      <c r="HWY183" s="141"/>
      <c r="HWZ183" s="141"/>
      <c r="HXA183" s="141"/>
      <c r="HXB183" s="141"/>
      <c r="HXC183" s="141"/>
      <c r="HXD183" s="141"/>
      <c r="HXE183" s="141"/>
      <c r="HXF183" s="141"/>
      <c r="HXG183" s="141"/>
      <c r="HXH183" s="141"/>
      <c r="HXI183" s="141"/>
      <c r="HXJ183" s="141"/>
      <c r="HXK183" s="141"/>
      <c r="HXL183" s="141"/>
      <c r="HXM183" s="141"/>
      <c r="HXN183" s="141"/>
      <c r="HXO183" s="141"/>
      <c r="HXP183" s="141"/>
      <c r="HXQ183" s="141"/>
      <c r="HXR183" s="141"/>
      <c r="HXS183" s="141"/>
      <c r="HXT183" s="141"/>
      <c r="HXU183" s="141"/>
      <c r="HXV183" s="141"/>
      <c r="HXW183" s="141"/>
      <c r="HXX183" s="141"/>
      <c r="HXY183" s="141"/>
      <c r="HXZ183" s="141"/>
      <c r="HYA183" s="141"/>
      <c r="HYB183" s="141"/>
      <c r="HYC183" s="141"/>
      <c r="HYD183" s="141"/>
      <c r="HYE183" s="141"/>
      <c r="HYF183" s="141"/>
      <c r="HYG183" s="141"/>
      <c r="HYH183" s="141"/>
      <c r="HYI183" s="141"/>
      <c r="HYJ183" s="141"/>
      <c r="HYK183" s="141"/>
      <c r="HYL183" s="141"/>
      <c r="HYM183" s="141"/>
      <c r="HYN183" s="141"/>
      <c r="HYO183" s="141"/>
      <c r="HYP183" s="141"/>
      <c r="HYQ183" s="141"/>
      <c r="HYR183" s="141"/>
      <c r="HYS183" s="141"/>
      <c r="HYT183" s="141"/>
      <c r="HYU183" s="141"/>
      <c r="HYV183" s="141"/>
      <c r="HYW183" s="141"/>
      <c r="HYX183" s="141"/>
      <c r="HYY183" s="141"/>
      <c r="HYZ183" s="141"/>
      <c r="HZA183" s="141"/>
      <c r="HZB183" s="141"/>
      <c r="HZC183" s="141"/>
      <c r="HZD183" s="141"/>
      <c r="HZE183" s="141"/>
      <c r="HZF183" s="141"/>
      <c r="HZG183" s="141"/>
      <c r="HZH183" s="141"/>
      <c r="HZI183" s="141"/>
      <c r="HZJ183" s="141"/>
      <c r="HZK183" s="141"/>
      <c r="HZL183" s="141"/>
      <c r="HZM183" s="141"/>
      <c r="HZN183" s="141"/>
      <c r="HZO183" s="141"/>
      <c r="HZP183" s="141"/>
      <c r="HZQ183" s="141"/>
      <c r="HZR183" s="141"/>
      <c r="HZS183" s="141"/>
      <c r="HZT183" s="141"/>
      <c r="HZU183" s="141"/>
      <c r="HZV183" s="141"/>
      <c r="HZW183" s="141"/>
      <c r="HZX183" s="141"/>
      <c r="HZY183" s="141"/>
      <c r="HZZ183" s="141"/>
      <c r="IAA183" s="141"/>
      <c r="IAB183" s="141"/>
      <c r="IAC183" s="141"/>
      <c r="IAD183" s="141"/>
      <c r="IAE183" s="141"/>
      <c r="IAF183" s="141"/>
      <c r="IAG183" s="141"/>
      <c r="IAH183" s="141"/>
      <c r="IAI183" s="141"/>
      <c r="IAJ183" s="141"/>
      <c r="IAK183" s="141"/>
      <c r="IAL183" s="141"/>
      <c r="IAM183" s="141"/>
      <c r="IAN183" s="141"/>
      <c r="IAO183" s="141"/>
      <c r="IAP183" s="141"/>
      <c r="IAQ183" s="141"/>
      <c r="IAR183" s="141"/>
      <c r="IAS183" s="141"/>
      <c r="IAT183" s="141"/>
      <c r="IAU183" s="141"/>
      <c r="IAV183" s="141"/>
      <c r="IAW183" s="141"/>
      <c r="IAX183" s="141"/>
      <c r="IAY183" s="141"/>
      <c r="IAZ183" s="141"/>
      <c r="IBA183" s="141"/>
      <c r="IBB183" s="141"/>
      <c r="IBC183" s="141"/>
      <c r="IBD183" s="141"/>
      <c r="IBE183" s="141"/>
      <c r="IBF183" s="141"/>
      <c r="IBG183" s="141"/>
      <c r="IBH183" s="141"/>
      <c r="IBI183" s="141"/>
      <c r="IBJ183" s="141"/>
      <c r="IBK183" s="141"/>
      <c r="IBL183" s="141"/>
      <c r="IBM183" s="141"/>
      <c r="IBN183" s="141"/>
      <c r="IBO183" s="141"/>
      <c r="IBP183" s="141"/>
      <c r="IBQ183" s="141"/>
      <c r="IBR183" s="141"/>
      <c r="IBS183" s="141"/>
      <c r="IBT183" s="141"/>
      <c r="IBU183" s="141"/>
      <c r="IBV183" s="141"/>
      <c r="IBW183" s="141"/>
      <c r="IBX183" s="141"/>
      <c r="IBY183" s="141"/>
      <c r="IBZ183" s="141"/>
      <c r="ICA183" s="141"/>
      <c r="ICB183" s="141"/>
      <c r="ICC183" s="141"/>
      <c r="ICD183" s="141"/>
      <c r="ICE183" s="141"/>
      <c r="ICF183" s="141"/>
      <c r="ICG183" s="141"/>
      <c r="ICH183" s="141"/>
      <c r="ICI183" s="141"/>
      <c r="ICJ183" s="141"/>
      <c r="ICK183" s="141"/>
      <c r="ICL183" s="141"/>
      <c r="ICM183" s="141"/>
      <c r="ICN183" s="141"/>
      <c r="ICO183" s="141"/>
      <c r="ICP183" s="141"/>
      <c r="ICQ183" s="141"/>
      <c r="ICR183" s="141"/>
      <c r="ICS183" s="141"/>
      <c r="ICT183" s="141"/>
      <c r="ICU183" s="141"/>
      <c r="ICV183" s="141"/>
      <c r="ICW183" s="141"/>
      <c r="ICX183" s="141"/>
      <c r="ICY183" s="141"/>
      <c r="ICZ183" s="141"/>
      <c r="IDA183" s="141"/>
      <c r="IDB183" s="141"/>
      <c r="IDC183" s="141"/>
      <c r="IDD183" s="141"/>
      <c r="IDE183" s="141"/>
      <c r="IDF183" s="141"/>
      <c r="IDG183" s="141"/>
      <c r="IDH183" s="141"/>
      <c r="IDI183" s="141"/>
      <c r="IDJ183" s="141"/>
      <c r="IDK183" s="141"/>
      <c r="IDL183" s="141"/>
      <c r="IDM183" s="141"/>
      <c r="IDN183" s="141"/>
      <c r="IDO183" s="141"/>
      <c r="IDP183" s="141"/>
      <c r="IDQ183" s="141"/>
      <c r="IDR183" s="141"/>
      <c r="IDS183" s="141"/>
      <c r="IDT183" s="141"/>
      <c r="IDU183" s="141"/>
      <c r="IDV183" s="141"/>
      <c r="IDW183" s="141"/>
      <c r="IDX183" s="141"/>
      <c r="IDY183" s="141"/>
      <c r="IDZ183" s="141"/>
      <c r="IEA183" s="141"/>
      <c r="IEB183" s="141"/>
      <c r="IEC183" s="141"/>
      <c r="IED183" s="141"/>
      <c r="IEE183" s="141"/>
      <c r="IEF183" s="141"/>
      <c r="IEG183" s="141"/>
      <c r="IEH183" s="141"/>
      <c r="IEI183" s="141"/>
      <c r="IEJ183" s="141"/>
      <c r="IEK183" s="141"/>
      <c r="IEL183" s="141"/>
      <c r="IEM183" s="141"/>
      <c r="IEN183" s="141"/>
      <c r="IEO183" s="141"/>
      <c r="IEP183" s="141"/>
      <c r="IEQ183" s="141"/>
      <c r="IER183" s="141"/>
      <c r="IES183" s="141"/>
      <c r="IET183" s="141"/>
      <c r="IEU183" s="141"/>
      <c r="IEV183" s="141"/>
      <c r="IEW183" s="141"/>
      <c r="IEX183" s="141"/>
      <c r="IEY183" s="141"/>
      <c r="IEZ183" s="141"/>
      <c r="IFA183" s="141"/>
      <c r="IFB183" s="141"/>
      <c r="IFC183" s="141"/>
      <c r="IFD183" s="141"/>
      <c r="IFE183" s="141"/>
      <c r="IFF183" s="141"/>
      <c r="IFG183" s="141"/>
      <c r="IFH183" s="141"/>
      <c r="IFI183" s="141"/>
      <c r="IFJ183" s="141"/>
      <c r="IFK183" s="141"/>
      <c r="IFL183" s="141"/>
      <c r="IFM183" s="141"/>
      <c r="IFN183" s="141"/>
      <c r="IFO183" s="141"/>
      <c r="IFP183" s="141"/>
      <c r="IFQ183" s="141"/>
      <c r="IFR183" s="141"/>
      <c r="IFS183" s="141"/>
      <c r="IFT183" s="141"/>
      <c r="IFU183" s="141"/>
      <c r="IFV183" s="141"/>
      <c r="IFW183" s="141"/>
      <c r="IFX183" s="141"/>
      <c r="IFY183" s="141"/>
      <c r="IFZ183" s="141"/>
      <c r="IGA183" s="141"/>
      <c r="IGB183" s="141"/>
      <c r="IGC183" s="141"/>
      <c r="IGD183" s="141"/>
      <c r="IGE183" s="141"/>
      <c r="IGF183" s="141"/>
      <c r="IGG183" s="141"/>
      <c r="IGH183" s="141"/>
      <c r="IGI183" s="141"/>
      <c r="IGJ183" s="141"/>
      <c r="IGK183" s="141"/>
      <c r="IGL183" s="141"/>
      <c r="IGM183" s="141"/>
      <c r="IGN183" s="141"/>
      <c r="IGO183" s="141"/>
      <c r="IGP183" s="141"/>
      <c r="IGQ183" s="141"/>
      <c r="IGR183" s="141"/>
      <c r="IGS183" s="141"/>
      <c r="IGT183" s="141"/>
      <c r="IGU183" s="141"/>
      <c r="IGV183" s="141"/>
      <c r="IGW183" s="141"/>
      <c r="IGX183" s="141"/>
      <c r="IGY183" s="141"/>
      <c r="IGZ183" s="141"/>
      <c r="IHA183" s="141"/>
      <c r="IHB183" s="141"/>
      <c r="IHC183" s="141"/>
      <c r="IHD183" s="141"/>
      <c r="IHE183" s="141"/>
      <c r="IHF183" s="141"/>
      <c r="IHG183" s="141"/>
      <c r="IHH183" s="141"/>
      <c r="IHI183" s="141"/>
      <c r="IHJ183" s="141"/>
      <c r="IHK183" s="141"/>
      <c r="IHL183" s="141"/>
      <c r="IHM183" s="141"/>
      <c r="IHN183" s="141"/>
      <c r="IHO183" s="141"/>
      <c r="IHP183" s="141"/>
      <c r="IHQ183" s="141"/>
      <c r="IHR183" s="141"/>
      <c r="IHS183" s="141"/>
      <c r="IHT183" s="141"/>
      <c r="IHU183" s="141"/>
      <c r="IHV183" s="141"/>
      <c r="IHW183" s="141"/>
      <c r="IHX183" s="141"/>
      <c r="IHY183" s="141"/>
      <c r="IHZ183" s="141"/>
      <c r="IIA183" s="141"/>
      <c r="IIB183" s="141"/>
      <c r="IIC183" s="141"/>
      <c r="IID183" s="141"/>
      <c r="IIE183" s="141"/>
      <c r="IIF183" s="141"/>
      <c r="IIG183" s="141"/>
      <c r="IIH183" s="141"/>
      <c r="III183" s="141"/>
      <c r="IIJ183" s="141"/>
      <c r="IIK183" s="141"/>
      <c r="IIL183" s="141"/>
      <c r="IIM183" s="141"/>
      <c r="IIN183" s="141"/>
      <c r="IIO183" s="141"/>
      <c r="IIP183" s="141"/>
      <c r="IIQ183" s="141"/>
      <c r="IIR183" s="141"/>
      <c r="IIS183" s="141"/>
      <c r="IIT183" s="141"/>
      <c r="IIU183" s="141"/>
      <c r="IIV183" s="141"/>
      <c r="IIW183" s="141"/>
      <c r="IIX183" s="141"/>
      <c r="IIY183" s="141"/>
      <c r="IIZ183" s="141"/>
      <c r="IJA183" s="141"/>
      <c r="IJB183" s="141"/>
      <c r="IJC183" s="141"/>
      <c r="IJD183" s="141"/>
      <c r="IJE183" s="141"/>
      <c r="IJF183" s="141"/>
      <c r="IJG183" s="141"/>
      <c r="IJH183" s="141"/>
      <c r="IJI183" s="141"/>
      <c r="IJJ183" s="141"/>
      <c r="IJK183" s="141"/>
      <c r="IJL183" s="141"/>
      <c r="IJM183" s="141"/>
      <c r="IJN183" s="141"/>
      <c r="IJO183" s="141"/>
      <c r="IJP183" s="141"/>
      <c r="IJQ183" s="141"/>
      <c r="IJR183" s="141"/>
      <c r="IJS183" s="141"/>
      <c r="IJT183" s="141"/>
      <c r="IJU183" s="141"/>
      <c r="IJV183" s="141"/>
      <c r="IJW183" s="141"/>
      <c r="IJX183" s="141"/>
      <c r="IJY183" s="141"/>
      <c r="IJZ183" s="141"/>
      <c r="IKA183" s="141"/>
      <c r="IKB183" s="141"/>
      <c r="IKC183" s="141"/>
      <c r="IKD183" s="141"/>
      <c r="IKE183" s="141"/>
      <c r="IKF183" s="141"/>
      <c r="IKG183" s="141"/>
      <c r="IKH183" s="141"/>
      <c r="IKI183" s="141"/>
      <c r="IKJ183" s="141"/>
      <c r="IKK183" s="141"/>
      <c r="IKL183" s="141"/>
      <c r="IKM183" s="141"/>
      <c r="IKN183" s="141"/>
      <c r="IKO183" s="141"/>
      <c r="IKP183" s="141"/>
      <c r="IKQ183" s="141"/>
      <c r="IKR183" s="141"/>
      <c r="IKS183" s="141"/>
      <c r="IKT183" s="141"/>
      <c r="IKU183" s="141"/>
      <c r="IKV183" s="141"/>
      <c r="IKW183" s="141"/>
      <c r="IKX183" s="141"/>
      <c r="IKY183" s="141"/>
      <c r="IKZ183" s="141"/>
      <c r="ILA183" s="141"/>
      <c r="ILB183" s="141"/>
      <c r="ILC183" s="141"/>
      <c r="ILD183" s="141"/>
      <c r="ILE183" s="141"/>
      <c r="ILF183" s="141"/>
      <c r="ILG183" s="141"/>
      <c r="ILH183" s="141"/>
      <c r="ILI183" s="141"/>
      <c r="ILJ183" s="141"/>
      <c r="ILK183" s="141"/>
      <c r="ILL183" s="141"/>
      <c r="ILM183" s="141"/>
      <c r="ILN183" s="141"/>
      <c r="ILO183" s="141"/>
      <c r="ILP183" s="141"/>
      <c r="ILQ183" s="141"/>
      <c r="ILR183" s="141"/>
      <c r="ILS183" s="141"/>
      <c r="ILT183" s="141"/>
      <c r="ILU183" s="141"/>
      <c r="ILV183" s="141"/>
      <c r="ILW183" s="141"/>
      <c r="ILX183" s="141"/>
      <c r="ILY183" s="141"/>
      <c r="ILZ183" s="141"/>
      <c r="IMA183" s="141"/>
      <c r="IMB183" s="141"/>
      <c r="IMC183" s="141"/>
      <c r="IMD183" s="141"/>
      <c r="IME183" s="141"/>
      <c r="IMF183" s="141"/>
      <c r="IMG183" s="141"/>
      <c r="IMH183" s="141"/>
      <c r="IMI183" s="141"/>
      <c r="IMJ183" s="141"/>
      <c r="IMK183" s="141"/>
      <c r="IML183" s="141"/>
      <c r="IMM183" s="141"/>
      <c r="IMN183" s="141"/>
      <c r="IMO183" s="141"/>
      <c r="IMP183" s="141"/>
      <c r="IMQ183" s="141"/>
      <c r="IMR183" s="141"/>
      <c r="IMS183" s="141"/>
      <c r="IMT183" s="141"/>
      <c r="IMU183" s="141"/>
      <c r="IMV183" s="141"/>
      <c r="IMW183" s="141"/>
      <c r="IMX183" s="141"/>
      <c r="IMY183" s="141"/>
      <c r="IMZ183" s="141"/>
      <c r="INA183" s="141"/>
      <c r="INB183" s="141"/>
      <c r="INC183" s="141"/>
      <c r="IND183" s="141"/>
      <c r="INE183" s="141"/>
      <c r="INF183" s="141"/>
      <c r="ING183" s="141"/>
      <c r="INH183" s="141"/>
      <c r="INI183" s="141"/>
      <c r="INJ183" s="141"/>
      <c r="INK183" s="141"/>
      <c r="INL183" s="141"/>
      <c r="INM183" s="141"/>
      <c r="INN183" s="141"/>
      <c r="INO183" s="141"/>
      <c r="INP183" s="141"/>
      <c r="INQ183" s="141"/>
      <c r="INR183" s="141"/>
      <c r="INS183" s="141"/>
      <c r="INT183" s="141"/>
      <c r="INU183" s="141"/>
      <c r="INV183" s="141"/>
      <c r="INW183" s="141"/>
      <c r="INX183" s="141"/>
      <c r="INY183" s="141"/>
      <c r="INZ183" s="141"/>
      <c r="IOA183" s="141"/>
      <c r="IOB183" s="141"/>
      <c r="IOC183" s="141"/>
      <c r="IOD183" s="141"/>
      <c r="IOE183" s="141"/>
      <c r="IOF183" s="141"/>
      <c r="IOG183" s="141"/>
      <c r="IOH183" s="141"/>
      <c r="IOI183" s="141"/>
      <c r="IOJ183" s="141"/>
      <c r="IOK183" s="141"/>
      <c r="IOL183" s="141"/>
      <c r="IOM183" s="141"/>
      <c r="ION183" s="141"/>
      <c r="IOO183" s="141"/>
      <c r="IOP183" s="141"/>
      <c r="IOQ183" s="141"/>
      <c r="IOR183" s="141"/>
      <c r="IOS183" s="141"/>
      <c r="IOT183" s="141"/>
      <c r="IOU183" s="141"/>
      <c r="IOV183" s="141"/>
      <c r="IOW183" s="141"/>
      <c r="IOX183" s="141"/>
      <c r="IOY183" s="141"/>
      <c r="IOZ183" s="141"/>
      <c r="IPA183" s="141"/>
      <c r="IPB183" s="141"/>
      <c r="IPC183" s="141"/>
      <c r="IPD183" s="141"/>
      <c r="IPE183" s="141"/>
      <c r="IPF183" s="141"/>
      <c r="IPG183" s="141"/>
      <c r="IPH183" s="141"/>
      <c r="IPI183" s="141"/>
      <c r="IPJ183" s="141"/>
      <c r="IPK183" s="141"/>
      <c r="IPL183" s="141"/>
      <c r="IPM183" s="141"/>
      <c r="IPN183" s="141"/>
      <c r="IPO183" s="141"/>
      <c r="IPP183" s="141"/>
      <c r="IPQ183" s="141"/>
      <c r="IPR183" s="141"/>
      <c r="IPS183" s="141"/>
      <c r="IPT183" s="141"/>
      <c r="IPU183" s="141"/>
      <c r="IPV183" s="141"/>
      <c r="IPW183" s="141"/>
      <c r="IPX183" s="141"/>
      <c r="IPY183" s="141"/>
      <c r="IPZ183" s="141"/>
      <c r="IQA183" s="141"/>
      <c r="IQB183" s="141"/>
      <c r="IQC183" s="141"/>
      <c r="IQD183" s="141"/>
      <c r="IQE183" s="141"/>
      <c r="IQF183" s="141"/>
      <c r="IQG183" s="141"/>
      <c r="IQH183" s="141"/>
      <c r="IQI183" s="141"/>
      <c r="IQJ183" s="141"/>
      <c r="IQK183" s="141"/>
      <c r="IQL183" s="141"/>
      <c r="IQM183" s="141"/>
      <c r="IQN183" s="141"/>
      <c r="IQO183" s="141"/>
      <c r="IQP183" s="141"/>
      <c r="IQQ183" s="141"/>
      <c r="IQR183" s="141"/>
      <c r="IQS183" s="141"/>
      <c r="IQT183" s="141"/>
      <c r="IQU183" s="141"/>
      <c r="IQV183" s="141"/>
      <c r="IQW183" s="141"/>
      <c r="IQX183" s="141"/>
      <c r="IQY183" s="141"/>
      <c r="IQZ183" s="141"/>
      <c r="IRA183" s="141"/>
      <c r="IRB183" s="141"/>
      <c r="IRC183" s="141"/>
      <c r="IRD183" s="141"/>
      <c r="IRE183" s="141"/>
      <c r="IRF183" s="141"/>
      <c r="IRG183" s="141"/>
      <c r="IRH183" s="141"/>
      <c r="IRI183" s="141"/>
      <c r="IRJ183" s="141"/>
      <c r="IRK183" s="141"/>
      <c r="IRL183" s="141"/>
      <c r="IRM183" s="141"/>
      <c r="IRN183" s="141"/>
      <c r="IRO183" s="141"/>
      <c r="IRP183" s="141"/>
      <c r="IRQ183" s="141"/>
      <c r="IRR183" s="141"/>
      <c r="IRS183" s="141"/>
      <c r="IRT183" s="141"/>
      <c r="IRU183" s="141"/>
      <c r="IRV183" s="141"/>
      <c r="IRW183" s="141"/>
      <c r="IRX183" s="141"/>
      <c r="IRY183" s="141"/>
      <c r="IRZ183" s="141"/>
      <c r="ISA183" s="141"/>
      <c r="ISB183" s="141"/>
      <c r="ISC183" s="141"/>
      <c r="ISD183" s="141"/>
      <c r="ISE183" s="141"/>
      <c r="ISF183" s="141"/>
      <c r="ISG183" s="141"/>
      <c r="ISH183" s="141"/>
      <c r="ISI183" s="141"/>
      <c r="ISJ183" s="141"/>
      <c r="ISK183" s="141"/>
      <c r="ISL183" s="141"/>
      <c r="ISM183" s="141"/>
      <c r="ISN183" s="141"/>
      <c r="ISO183" s="141"/>
      <c r="ISP183" s="141"/>
      <c r="ISQ183" s="141"/>
      <c r="ISR183" s="141"/>
      <c r="ISS183" s="141"/>
      <c r="IST183" s="141"/>
      <c r="ISU183" s="141"/>
      <c r="ISV183" s="141"/>
      <c r="ISW183" s="141"/>
      <c r="ISX183" s="141"/>
      <c r="ISY183" s="141"/>
      <c r="ISZ183" s="141"/>
      <c r="ITA183" s="141"/>
      <c r="ITB183" s="141"/>
      <c r="ITC183" s="141"/>
      <c r="ITD183" s="141"/>
      <c r="ITE183" s="141"/>
      <c r="ITF183" s="141"/>
      <c r="ITG183" s="141"/>
      <c r="ITH183" s="141"/>
      <c r="ITI183" s="141"/>
      <c r="ITJ183" s="141"/>
      <c r="ITK183" s="141"/>
      <c r="ITL183" s="141"/>
      <c r="ITM183" s="141"/>
      <c r="ITN183" s="141"/>
      <c r="ITO183" s="141"/>
      <c r="ITP183" s="141"/>
      <c r="ITQ183" s="141"/>
      <c r="ITR183" s="141"/>
      <c r="ITS183" s="141"/>
      <c r="ITT183" s="141"/>
      <c r="ITU183" s="141"/>
      <c r="ITV183" s="141"/>
      <c r="ITW183" s="141"/>
      <c r="ITX183" s="141"/>
      <c r="ITY183" s="141"/>
      <c r="ITZ183" s="141"/>
      <c r="IUA183" s="141"/>
      <c r="IUB183" s="141"/>
      <c r="IUC183" s="141"/>
      <c r="IUD183" s="141"/>
      <c r="IUE183" s="141"/>
      <c r="IUF183" s="141"/>
      <c r="IUG183" s="141"/>
      <c r="IUH183" s="141"/>
      <c r="IUI183" s="141"/>
      <c r="IUJ183" s="141"/>
      <c r="IUK183" s="141"/>
      <c r="IUL183" s="141"/>
      <c r="IUM183" s="141"/>
      <c r="IUN183" s="141"/>
      <c r="IUO183" s="141"/>
      <c r="IUP183" s="141"/>
      <c r="IUQ183" s="141"/>
      <c r="IUR183" s="141"/>
      <c r="IUS183" s="141"/>
      <c r="IUT183" s="141"/>
      <c r="IUU183" s="141"/>
      <c r="IUV183" s="141"/>
      <c r="IUW183" s="141"/>
      <c r="IUX183" s="141"/>
      <c r="IUY183" s="141"/>
      <c r="IUZ183" s="141"/>
      <c r="IVA183" s="141"/>
      <c r="IVB183" s="141"/>
      <c r="IVC183" s="141"/>
      <c r="IVD183" s="141"/>
      <c r="IVE183" s="141"/>
      <c r="IVF183" s="141"/>
      <c r="IVG183" s="141"/>
      <c r="IVH183" s="141"/>
      <c r="IVI183" s="141"/>
      <c r="IVJ183" s="141"/>
      <c r="IVK183" s="141"/>
      <c r="IVL183" s="141"/>
      <c r="IVM183" s="141"/>
      <c r="IVN183" s="141"/>
      <c r="IVO183" s="141"/>
      <c r="IVP183" s="141"/>
      <c r="IVQ183" s="141"/>
      <c r="IVR183" s="141"/>
      <c r="IVS183" s="141"/>
      <c r="IVT183" s="141"/>
      <c r="IVU183" s="141"/>
      <c r="IVV183" s="141"/>
      <c r="IVW183" s="141"/>
      <c r="IVX183" s="141"/>
      <c r="IVY183" s="141"/>
      <c r="IVZ183" s="141"/>
      <c r="IWA183" s="141"/>
      <c r="IWB183" s="141"/>
      <c r="IWC183" s="141"/>
      <c r="IWD183" s="141"/>
      <c r="IWE183" s="141"/>
      <c r="IWF183" s="141"/>
      <c r="IWG183" s="141"/>
      <c r="IWH183" s="141"/>
      <c r="IWI183" s="141"/>
      <c r="IWJ183" s="141"/>
      <c r="IWK183" s="141"/>
      <c r="IWL183" s="141"/>
      <c r="IWM183" s="141"/>
      <c r="IWN183" s="141"/>
      <c r="IWO183" s="141"/>
      <c r="IWP183" s="141"/>
      <c r="IWQ183" s="141"/>
      <c r="IWR183" s="141"/>
      <c r="IWS183" s="141"/>
      <c r="IWT183" s="141"/>
      <c r="IWU183" s="141"/>
      <c r="IWV183" s="141"/>
      <c r="IWW183" s="141"/>
      <c r="IWX183" s="141"/>
      <c r="IWY183" s="141"/>
      <c r="IWZ183" s="141"/>
      <c r="IXA183" s="141"/>
      <c r="IXB183" s="141"/>
      <c r="IXC183" s="141"/>
      <c r="IXD183" s="141"/>
      <c r="IXE183" s="141"/>
      <c r="IXF183" s="141"/>
      <c r="IXG183" s="141"/>
      <c r="IXH183" s="141"/>
      <c r="IXI183" s="141"/>
      <c r="IXJ183" s="141"/>
      <c r="IXK183" s="141"/>
      <c r="IXL183" s="141"/>
      <c r="IXM183" s="141"/>
      <c r="IXN183" s="141"/>
      <c r="IXO183" s="141"/>
      <c r="IXP183" s="141"/>
      <c r="IXQ183" s="141"/>
      <c r="IXR183" s="141"/>
      <c r="IXS183" s="141"/>
      <c r="IXT183" s="141"/>
      <c r="IXU183" s="141"/>
      <c r="IXV183" s="141"/>
      <c r="IXW183" s="141"/>
      <c r="IXX183" s="141"/>
      <c r="IXY183" s="141"/>
      <c r="IXZ183" s="141"/>
      <c r="IYA183" s="141"/>
      <c r="IYB183" s="141"/>
      <c r="IYC183" s="141"/>
      <c r="IYD183" s="141"/>
      <c r="IYE183" s="141"/>
      <c r="IYF183" s="141"/>
      <c r="IYG183" s="141"/>
      <c r="IYH183" s="141"/>
      <c r="IYI183" s="141"/>
      <c r="IYJ183" s="141"/>
      <c r="IYK183" s="141"/>
      <c r="IYL183" s="141"/>
      <c r="IYM183" s="141"/>
      <c r="IYN183" s="141"/>
      <c r="IYO183" s="141"/>
      <c r="IYP183" s="141"/>
      <c r="IYQ183" s="141"/>
      <c r="IYR183" s="141"/>
      <c r="IYS183" s="141"/>
      <c r="IYT183" s="141"/>
      <c r="IYU183" s="141"/>
      <c r="IYV183" s="141"/>
      <c r="IYW183" s="141"/>
      <c r="IYX183" s="141"/>
      <c r="IYY183" s="141"/>
      <c r="IYZ183" s="141"/>
      <c r="IZA183" s="141"/>
      <c r="IZB183" s="141"/>
      <c r="IZC183" s="141"/>
      <c r="IZD183" s="141"/>
      <c r="IZE183" s="141"/>
      <c r="IZF183" s="141"/>
      <c r="IZG183" s="141"/>
      <c r="IZH183" s="141"/>
      <c r="IZI183" s="141"/>
      <c r="IZJ183" s="141"/>
      <c r="IZK183" s="141"/>
      <c r="IZL183" s="141"/>
      <c r="IZM183" s="141"/>
      <c r="IZN183" s="141"/>
      <c r="IZO183" s="141"/>
      <c r="IZP183" s="141"/>
      <c r="IZQ183" s="141"/>
      <c r="IZR183" s="141"/>
      <c r="IZS183" s="141"/>
      <c r="IZT183" s="141"/>
      <c r="IZU183" s="141"/>
      <c r="IZV183" s="141"/>
      <c r="IZW183" s="141"/>
      <c r="IZX183" s="141"/>
      <c r="IZY183" s="141"/>
      <c r="IZZ183" s="141"/>
      <c r="JAA183" s="141"/>
      <c r="JAB183" s="141"/>
      <c r="JAC183" s="141"/>
      <c r="JAD183" s="141"/>
      <c r="JAE183" s="141"/>
      <c r="JAF183" s="141"/>
      <c r="JAG183" s="141"/>
      <c r="JAH183" s="141"/>
      <c r="JAI183" s="141"/>
      <c r="JAJ183" s="141"/>
      <c r="JAK183" s="141"/>
      <c r="JAL183" s="141"/>
      <c r="JAM183" s="141"/>
      <c r="JAN183" s="141"/>
      <c r="JAO183" s="141"/>
      <c r="JAP183" s="141"/>
      <c r="JAQ183" s="141"/>
      <c r="JAR183" s="141"/>
      <c r="JAS183" s="141"/>
      <c r="JAT183" s="141"/>
      <c r="JAU183" s="141"/>
      <c r="JAV183" s="141"/>
      <c r="JAW183" s="141"/>
      <c r="JAX183" s="141"/>
      <c r="JAY183" s="141"/>
      <c r="JAZ183" s="141"/>
      <c r="JBA183" s="141"/>
      <c r="JBB183" s="141"/>
      <c r="JBC183" s="141"/>
      <c r="JBD183" s="141"/>
      <c r="JBE183" s="141"/>
      <c r="JBF183" s="141"/>
      <c r="JBG183" s="141"/>
      <c r="JBH183" s="141"/>
      <c r="JBI183" s="141"/>
      <c r="JBJ183" s="141"/>
      <c r="JBK183" s="141"/>
      <c r="JBL183" s="141"/>
      <c r="JBM183" s="141"/>
      <c r="JBN183" s="141"/>
      <c r="JBO183" s="141"/>
      <c r="JBP183" s="141"/>
      <c r="JBQ183" s="141"/>
      <c r="JBR183" s="141"/>
      <c r="JBS183" s="141"/>
      <c r="JBT183" s="141"/>
      <c r="JBU183" s="141"/>
      <c r="JBV183" s="141"/>
      <c r="JBW183" s="141"/>
      <c r="JBX183" s="141"/>
      <c r="JBY183" s="141"/>
      <c r="JBZ183" s="141"/>
      <c r="JCA183" s="141"/>
      <c r="JCB183" s="141"/>
      <c r="JCC183" s="141"/>
      <c r="JCD183" s="141"/>
      <c r="JCE183" s="141"/>
      <c r="JCF183" s="141"/>
      <c r="JCG183" s="141"/>
      <c r="JCH183" s="141"/>
      <c r="JCI183" s="141"/>
      <c r="JCJ183" s="141"/>
      <c r="JCK183" s="141"/>
      <c r="JCL183" s="141"/>
      <c r="JCM183" s="141"/>
      <c r="JCN183" s="141"/>
      <c r="JCO183" s="141"/>
      <c r="JCP183" s="141"/>
      <c r="JCQ183" s="141"/>
      <c r="JCR183" s="141"/>
      <c r="JCS183" s="141"/>
      <c r="JCT183" s="141"/>
      <c r="JCU183" s="141"/>
      <c r="JCV183" s="141"/>
      <c r="JCW183" s="141"/>
      <c r="JCX183" s="141"/>
      <c r="JCY183" s="141"/>
      <c r="JCZ183" s="141"/>
      <c r="JDA183" s="141"/>
      <c r="JDB183" s="141"/>
      <c r="JDC183" s="141"/>
      <c r="JDD183" s="141"/>
      <c r="JDE183" s="141"/>
      <c r="JDF183" s="141"/>
      <c r="JDG183" s="141"/>
      <c r="JDH183" s="141"/>
      <c r="JDI183" s="141"/>
      <c r="JDJ183" s="141"/>
      <c r="JDK183" s="141"/>
      <c r="JDL183" s="141"/>
      <c r="JDM183" s="141"/>
      <c r="JDN183" s="141"/>
      <c r="JDO183" s="141"/>
      <c r="JDP183" s="141"/>
      <c r="JDQ183" s="141"/>
      <c r="JDR183" s="141"/>
      <c r="JDS183" s="141"/>
      <c r="JDT183" s="141"/>
      <c r="JDU183" s="141"/>
      <c r="JDV183" s="141"/>
      <c r="JDW183" s="141"/>
      <c r="JDX183" s="141"/>
      <c r="JDY183" s="141"/>
      <c r="JDZ183" s="141"/>
      <c r="JEA183" s="141"/>
      <c r="JEB183" s="141"/>
      <c r="JEC183" s="141"/>
      <c r="JED183" s="141"/>
      <c r="JEE183" s="141"/>
      <c r="JEF183" s="141"/>
      <c r="JEG183" s="141"/>
      <c r="JEH183" s="141"/>
      <c r="JEI183" s="141"/>
      <c r="JEJ183" s="141"/>
      <c r="JEK183" s="141"/>
      <c r="JEL183" s="141"/>
      <c r="JEM183" s="141"/>
      <c r="JEN183" s="141"/>
      <c r="JEO183" s="141"/>
      <c r="JEP183" s="141"/>
      <c r="JEQ183" s="141"/>
      <c r="JER183" s="141"/>
      <c r="JES183" s="141"/>
      <c r="JET183" s="141"/>
      <c r="JEU183" s="141"/>
      <c r="JEV183" s="141"/>
      <c r="JEW183" s="141"/>
      <c r="JEX183" s="141"/>
      <c r="JEY183" s="141"/>
      <c r="JEZ183" s="141"/>
      <c r="JFA183" s="141"/>
      <c r="JFB183" s="141"/>
      <c r="JFC183" s="141"/>
      <c r="JFD183" s="141"/>
      <c r="JFE183" s="141"/>
      <c r="JFF183" s="141"/>
      <c r="JFG183" s="141"/>
      <c r="JFH183" s="141"/>
      <c r="JFI183" s="141"/>
      <c r="JFJ183" s="141"/>
      <c r="JFK183" s="141"/>
      <c r="JFL183" s="141"/>
      <c r="JFM183" s="141"/>
      <c r="JFN183" s="141"/>
      <c r="JFO183" s="141"/>
      <c r="JFP183" s="141"/>
      <c r="JFQ183" s="141"/>
      <c r="JFR183" s="141"/>
      <c r="JFS183" s="141"/>
      <c r="JFT183" s="141"/>
      <c r="JFU183" s="141"/>
      <c r="JFV183" s="141"/>
      <c r="JFW183" s="141"/>
      <c r="JFX183" s="141"/>
      <c r="JFY183" s="141"/>
      <c r="JFZ183" s="141"/>
      <c r="JGA183" s="141"/>
      <c r="JGB183" s="141"/>
      <c r="JGC183" s="141"/>
      <c r="JGD183" s="141"/>
      <c r="JGE183" s="141"/>
      <c r="JGF183" s="141"/>
      <c r="JGG183" s="141"/>
      <c r="JGH183" s="141"/>
      <c r="JGI183" s="141"/>
      <c r="JGJ183" s="141"/>
      <c r="JGK183" s="141"/>
      <c r="JGL183" s="141"/>
      <c r="JGM183" s="141"/>
      <c r="JGN183" s="141"/>
      <c r="JGO183" s="141"/>
      <c r="JGP183" s="141"/>
      <c r="JGQ183" s="141"/>
      <c r="JGR183" s="141"/>
      <c r="JGS183" s="141"/>
      <c r="JGT183" s="141"/>
      <c r="JGU183" s="141"/>
      <c r="JGV183" s="141"/>
      <c r="JGW183" s="141"/>
      <c r="JGX183" s="141"/>
      <c r="JGY183" s="141"/>
      <c r="JGZ183" s="141"/>
      <c r="JHA183" s="141"/>
      <c r="JHB183" s="141"/>
      <c r="JHC183" s="141"/>
      <c r="JHD183" s="141"/>
      <c r="JHE183" s="141"/>
      <c r="JHF183" s="141"/>
      <c r="JHG183" s="141"/>
      <c r="JHH183" s="141"/>
      <c r="JHI183" s="141"/>
      <c r="JHJ183" s="141"/>
      <c r="JHK183" s="141"/>
      <c r="JHL183" s="141"/>
      <c r="JHM183" s="141"/>
      <c r="JHN183" s="141"/>
      <c r="JHO183" s="141"/>
      <c r="JHP183" s="141"/>
      <c r="JHQ183" s="141"/>
      <c r="JHR183" s="141"/>
      <c r="JHS183" s="141"/>
      <c r="JHT183" s="141"/>
      <c r="JHU183" s="141"/>
      <c r="JHV183" s="141"/>
      <c r="JHW183" s="141"/>
      <c r="JHX183" s="141"/>
      <c r="JHY183" s="141"/>
      <c r="JHZ183" s="141"/>
      <c r="JIA183" s="141"/>
      <c r="JIB183" s="141"/>
      <c r="JIC183" s="141"/>
      <c r="JID183" s="141"/>
      <c r="JIE183" s="141"/>
      <c r="JIF183" s="141"/>
      <c r="JIG183" s="141"/>
      <c r="JIH183" s="141"/>
      <c r="JII183" s="141"/>
      <c r="JIJ183" s="141"/>
      <c r="JIK183" s="141"/>
      <c r="JIL183" s="141"/>
      <c r="JIM183" s="141"/>
      <c r="JIN183" s="141"/>
      <c r="JIO183" s="141"/>
      <c r="JIP183" s="141"/>
      <c r="JIQ183" s="141"/>
      <c r="JIR183" s="141"/>
      <c r="JIS183" s="141"/>
      <c r="JIT183" s="141"/>
      <c r="JIU183" s="141"/>
      <c r="JIV183" s="141"/>
      <c r="JIW183" s="141"/>
      <c r="JIX183" s="141"/>
      <c r="JIY183" s="141"/>
      <c r="JIZ183" s="141"/>
      <c r="JJA183" s="141"/>
      <c r="JJB183" s="141"/>
      <c r="JJC183" s="141"/>
      <c r="JJD183" s="141"/>
      <c r="JJE183" s="141"/>
      <c r="JJF183" s="141"/>
      <c r="JJG183" s="141"/>
      <c r="JJH183" s="141"/>
      <c r="JJI183" s="141"/>
      <c r="JJJ183" s="141"/>
      <c r="JJK183" s="141"/>
      <c r="JJL183" s="141"/>
      <c r="JJM183" s="141"/>
      <c r="JJN183" s="141"/>
      <c r="JJO183" s="141"/>
      <c r="JJP183" s="141"/>
      <c r="JJQ183" s="141"/>
      <c r="JJR183" s="141"/>
      <c r="JJS183" s="141"/>
      <c r="JJT183" s="141"/>
      <c r="JJU183" s="141"/>
      <c r="JJV183" s="141"/>
      <c r="JJW183" s="141"/>
      <c r="JJX183" s="141"/>
      <c r="JJY183" s="141"/>
      <c r="JJZ183" s="141"/>
      <c r="JKA183" s="141"/>
      <c r="JKB183" s="141"/>
      <c r="JKC183" s="141"/>
      <c r="JKD183" s="141"/>
      <c r="JKE183" s="141"/>
      <c r="JKF183" s="141"/>
      <c r="JKG183" s="141"/>
      <c r="JKH183" s="141"/>
      <c r="JKI183" s="141"/>
      <c r="JKJ183" s="141"/>
      <c r="JKK183" s="141"/>
      <c r="JKL183" s="141"/>
      <c r="JKM183" s="141"/>
      <c r="JKN183" s="141"/>
      <c r="JKO183" s="141"/>
      <c r="JKP183" s="141"/>
      <c r="JKQ183" s="141"/>
      <c r="JKR183" s="141"/>
      <c r="JKS183" s="141"/>
      <c r="JKT183" s="141"/>
      <c r="JKU183" s="141"/>
      <c r="JKV183" s="141"/>
      <c r="JKW183" s="141"/>
      <c r="JKX183" s="141"/>
      <c r="JKY183" s="141"/>
      <c r="JKZ183" s="141"/>
      <c r="JLA183" s="141"/>
      <c r="JLB183" s="141"/>
      <c r="JLC183" s="141"/>
      <c r="JLD183" s="141"/>
      <c r="JLE183" s="141"/>
      <c r="JLF183" s="141"/>
      <c r="JLG183" s="141"/>
      <c r="JLH183" s="141"/>
      <c r="JLI183" s="141"/>
      <c r="JLJ183" s="141"/>
      <c r="JLK183" s="141"/>
      <c r="JLL183" s="141"/>
      <c r="JLM183" s="141"/>
      <c r="JLN183" s="141"/>
      <c r="JLO183" s="141"/>
      <c r="JLP183" s="141"/>
      <c r="JLQ183" s="141"/>
      <c r="JLR183" s="141"/>
      <c r="JLS183" s="141"/>
      <c r="JLT183" s="141"/>
      <c r="JLU183" s="141"/>
      <c r="JLV183" s="141"/>
      <c r="JLW183" s="141"/>
      <c r="JLX183" s="141"/>
      <c r="JLY183" s="141"/>
      <c r="JLZ183" s="141"/>
      <c r="JMA183" s="141"/>
      <c r="JMB183" s="141"/>
      <c r="JMC183" s="141"/>
      <c r="JMD183" s="141"/>
      <c r="JME183" s="141"/>
      <c r="JMF183" s="141"/>
      <c r="JMG183" s="141"/>
      <c r="JMH183" s="141"/>
      <c r="JMI183" s="141"/>
      <c r="JMJ183" s="141"/>
      <c r="JMK183" s="141"/>
      <c r="JML183" s="141"/>
      <c r="JMM183" s="141"/>
      <c r="JMN183" s="141"/>
      <c r="JMO183" s="141"/>
      <c r="JMP183" s="141"/>
      <c r="JMQ183" s="141"/>
      <c r="JMR183" s="141"/>
      <c r="JMS183" s="141"/>
      <c r="JMT183" s="141"/>
      <c r="JMU183" s="141"/>
      <c r="JMV183" s="141"/>
      <c r="JMW183" s="141"/>
      <c r="JMX183" s="141"/>
      <c r="JMY183" s="141"/>
      <c r="JMZ183" s="141"/>
      <c r="JNA183" s="141"/>
      <c r="JNB183" s="141"/>
      <c r="JNC183" s="141"/>
      <c r="JND183" s="141"/>
      <c r="JNE183" s="141"/>
      <c r="JNF183" s="141"/>
      <c r="JNG183" s="141"/>
      <c r="JNH183" s="141"/>
      <c r="JNI183" s="141"/>
      <c r="JNJ183" s="141"/>
      <c r="JNK183" s="141"/>
      <c r="JNL183" s="141"/>
      <c r="JNM183" s="141"/>
      <c r="JNN183" s="141"/>
      <c r="JNO183" s="141"/>
      <c r="JNP183" s="141"/>
      <c r="JNQ183" s="141"/>
      <c r="JNR183" s="141"/>
      <c r="JNS183" s="141"/>
      <c r="JNT183" s="141"/>
      <c r="JNU183" s="141"/>
      <c r="JNV183" s="141"/>
      <c r="JNW183" s="141"/>
      <c r="JNX183" s="141"/>
      <c r="JNY183" s="141"/>
      <c r="JNZ183" s="141"/>
      <c r="JOA183" s="141"/>
      <c r="JOB183" s="141"/>
      <c r="JOC183" s="141"/>
      <c r="JOD183" s="141"/>
      <c r="JOE183" s="141"/>
      <c r="JOF183" s="141"/>
      <c r="JOG183" s="141"/>
      <c r="JOH183" s="141"/>
      <c r="JOI183" s="141"/>
      <c r="JOJ183" s="141"/>
      <c r="JOK183" s="141"/>
      <c r="JOL183" s="141"/>
      <c r="JOM183" s="141"/>
      <c r="JON183" s="141"/>
      <c r="JOO183" s="141"/>
      <c r="JOP183" s="141"/>
      <c r="JOQ183" s="141"/>
      <c r="JOR183" s="141"/>
      <c r="JOS183" s="141"/>
      <c r="JOT183" s="141"/>
      <c r="JOU183" s="141"/>
      <c r="JOV183" s="141"/>
      <c r="JOW183" s="141"/>
      <c r="JOX183" s="141"/>
      <c r="JOY183" s="141"/>
      <c r="JOZ183" s="141"/>
      <c r="JPA183" s="141"/>
      <c r="JPB183" s="141"/>
      <c r="JPC183" s="141"/>
      <c r="JPD183" s="141"/>
      <c r="JPE183" s="141"/>
      <c r="JPF183" s="141"/>
      <c r="JPG183" s="141"/>
      <c r="JPH183" s="141"/>
      <c r="JPI183" s="141"/>
      <c r="JPJ183" s="141"/>
      <c r="JPK183" s="141"/>
      <c r="JPL183" s="141"/>
      <c r="JPM183" s="141"/>
      <c r="JPN183" s="141"/>
      <c r="JPO183" s="141"/>
      <c r="JPP183" s="141"/>
      <c r="JPQ183" s="141"/>
      <c r="JPR183" s="141"/>
      <c r="JPS183" s="141"/>
      <c r="JPT183" s="141"/>
      <c r="JPU183" s="141"/>
      <c r="JPV183" s="141"/>
      <c r="JPW183" s="141"/>
      <c r="JPX183" s="141"/>
      <c r="JPY183" s="141"/>
      <c r="JPZ183" s="141"/>
      <c r="JQA183" s="141"/>
      <c r="JQB183" s="141"/>
      <c r="JQC183" s="141"/>
      <c r="JQD183" s="141"/>
      <c r="JQE183" s="141"/>
      <c r="JQF183" s="141"/>
      <c r="JQG183" s="141"/>
      <c r="JQH183" s="141"/>
      <c r="JQI183" s="141"/>
      <c r="JQJ183" s="141"/>
      <c r="JQK183" s="141"/>
      <c r="JQL183" s="141"/>
      <c r="JQM183" s="141"/>
      <c r="JQN183" s="141"/>
      <c r="JQO183" s="141"/>
      <c r="JQP183" s="141"/>
      <c r="JQQ183" s="141"/>
      <c r="JQR183" s="141"/>
      <c r="JQS183" s="141"/>
      <c r="JQT183" s="141"/>
      <c r="JQU183" s="141"/>
      <c r="JQV183" s="141"/>
      <c r="JQW183" s="141"/>
      <c r="JQX183" s="141"/>
      <c r="JQY183" s="141"/>
      <c r="JQZ183" s="141"/>
      <c r="JRA183" s="141"/>
      <c r="JRB183" s="141"/>
      <c r="JRC183" s="141"/>
      <c r="JRD183" s="141"/>
      <c r="JRE183" s="141"/>
      <c r="JRF183" s="141"/>
      <c r="JRG183" s="141"/>
      <c r="JRH183" s="141"/>
      <c r="JRI183" s="141"/>
      <c r="JRJ183" s="141"/>
      <c r="JRK183" s="141"/>
      <c r="JRL183" s="141"/>
      <c r="JRM183" s="141"/>
      <c r="JRN183" s="141"/>
      <c r="JRO183" s="141"/>
      <c r="JRP183" s="141"/>
      <c r="JRQ183" s="141"/>
      <c r="JRR183" s="141"/>
      <c r="JRS183" s="141"/>
      <c r="JRT183" s="141"/>
      <c r="JRU183" s="141"/>
      <c r="JRV183" s="141"/>
      <c r="JRW183" s="141"/>
      <c r="JRX183" s="141"/>
      <c r="JRY183" s="141"/>
      <c r="JRZ183" s="141"/>
      <c r="JSA183" s="141"/>
      <c r="JSB183" s="141"/>
      <c r="JSC183" s="141"/>
      <c r="JSD183" s="141"/>
      <c r="JSE183" s="141"/>
      <c r="JSF183" s="141"/>
      <c r="JSG183" s="141"/>
      <c r="JSH183" s="141"/>
      <c r="JSI183" s="141"/>
      <c r="JSJ183" s="141"/>
      <c r="JSK183" s="141"/>
      <c r="JSL183" s="141"/>
      <c r="JSM183" s="141"/>
      <c r="JSN183" s="141"/>
      <c r="JSO183" s="141"/>
      <c r="JSP183" s="141"/>
      <c r="JSQ183" s="141"/>
      <c r="JSR183" s="141"/>
      <c r="JSS183" s="141"/>
      <c r="JST183" s="141"/>
      <c r="JSU183" s="141"/>
      <c r="JSV183" s="141"/>
      <c r="JSW183" s="141"/>
      <c r="JSX183" s="141"/>
      <c r="JSY183" s="141"/>
      <c r="JSZ183" s="141"/>
      <c r="JTA183" s="141"/>
      <c r="JTB183" s="141"/>
      <c r="JTC183" s="141"/>
      <c r="JTD183" s="141"/>
      <c r="JTE183" s="141"/>
      <c r="JTF183" s="141"/>
      <c r="JTG183" s="141"/>
      <c r="JTH183" s="141"/>
      <c r="JTI183" s="141"/>
      <c r="JTJ183" s="141"/>
      <c r="JTK183" s="141"/>
      <c r="JTL183" s="141"/>
      <c r="JTM183" s="141"/>
      <c r="JTN183" s="141"/>
      <c r="JTO183" s="141"/>
      <c r="JTP183" s="141"/>
      <c r="JTQ183" s="141"/>
      <c r="JTR183" s="141"/>
      <c r="JTS183" s="141"/>
      <c r="JTT183" s="141"/>
      <c r="JTU183" s="141"/>
      <c r="JTV183" s="141"/>
      <c r="JTW183" s="141"/>
      <c r="JTX183" s="141"/>
      <c r="JTY183" s="141"/>
      <c r="JTZ183" s="141"/>
      <c r="JUA183" s="141"/>
      <c r="JUB183" s="141"/>
      <c r="JUC183" s="141"/>
      <c r="JUD183" s="141"/>
      <c r="JUE183" s="141"/>
      <c r="JUF183" s="141"/>
      <c r="JUG183" s="141"/>
      <c r="JUH183" s="141"/>
      <c r="JUI183" s="141"/>
      <c r="JUJ183" s="141"/>
      <c r="JUK183" s="141"/>
      <c r="JUL183" s="141"/>
      <c r="JUM183" s="141"/>
      <c r="JUN183" s="141"/>
      <c r="JUO183" s="141"/>
      <c r="JUP183" s="141"/>
      <c r="JUQ183" s="141"/>
      <c r="JUR183" s="141"/>
      <c r="JUS183" s="141"/>
      <c r="JUT183" s="141"/>
      <c r="JUU183" s="141"/>
      <c r="JUV183" s="141"/>
      <c r="JUW183" s="141"/>
      <c r="JUX183" s="141"/>
      <c r="JUY183" s="141"/>
      <c r="JUZ183" s="141"/>
      <c r="JVA183" s="141"/>
      <c r="JVB183" s="141"/>
      <c r="JVC183" s="141"/>
      <c r="JVD183" s="141"/>
      <c r="JVE183" s="141"/>
      <c r="JVF183" s="141"/>
      <c r="JVG183" s="141"/>
      <c r="JVH183" s="141"/>
      <c r="JVI183" s="141"/>
      <c r="JVJ183" s="141"/>
      <c r="JVK183" s="141"/>
      <c r="JVL183" s="141"/>
      <c r="JVM183" s="141"/>
      <c r="JVN183" s="141"/>
      <c r="JVO183" s="141"/>
      <c r="JVP183" s="141"/>
      <c r="JVQ183" s="141"/>
      <c r="JVR183" s="141"/>
      <c r="JVS183" s="141"/>
      <c r="JVT183" s="141"/>
      <c r="JVU183" s="141"/>
      <c r="JVV183" s="141"/>
      <c r="JVW183" s="141"/>
      <c r="JVX183" s="141"/>
      <c r="JVY183" s="141"/>
      <c r="JVZ183" s="141"/>
      <c r="JWA183" s="141"/>
      <c r="JWB183" s="141"/>
      <c r="JWC183" s="141"/>
      <c r="JWD183" s="141"/>
      <c r="JWE183" s="141"/>
      <c r="JWF183" s="141"/>
      <c r="JWG183" s="141"/>
      <c r="JWH183" s="141"/>
      <c r="JWI183" s="141"/>
      <c r="JWJ183" s="141"/>
      <c r="JWK183" s="141"/>
      <c r="JWL183" s="141"/>
      <c r="JWM183" s="141"/>
      <c r="JWN183" s="141"/>
      <c r="JWO183" s="141"/>
      <c r="JWP183" s="141"/>
      <c r="JWQ183" s="141"/>
      <c r="JWR183" s="141"/>
      <c r="JWS183" s="141"/>
      <c r="JWT183" s="141"/>
      <c r="JWU183" s="141"/>
      <c r="JWV183" s="141"/>
      <c r="JWW183" s="141"/>
      <c r="JWX183" s="141"/>
      <c r="JWY183" s="141"/>
      <c r="JWZ183" s="141"/>
      <c r="JXA183" s="141"/>
      <c r="JXB183" s="141"/>
      <c r="JXC183" s="141"/>
      <c r="JXD183" s="141"/>
      <c r="JXE183" s="141"/>
      <c r="JXF183" s="141"/>
      <c r="JXG183" s="141"/>
      <c r="JXH183" s="141"/>
      <c r="JXI183" s="141"/>
      <c r="JXJ183" s="141"/>
      <c r="JXK183" s="141"/>
      <c r="JXL183" s="141"/>
      <c r="JXM183" s="141"/>
      <c r="JXN183" s="141"/>
      <c r="JXO183" s="141"/>
      <c r="JXP183" s="141"/>
      <c r="JXQ183" s="141"/>
      <c r="JXR183" s="141"/>
      <c r="JXS183" s="141"/>
      <c r="JXT183" s="141"/>
      <c r="JXU183" s="141"/>
      <c r="JXV183" s="141"/>
      <c r="JXW183" s="141"/>
      <c r="JXX183" s="141"/>
      <c r="JXY183" s="141"/>
      <c r="JXZ183" s="141"/>
      <c r="JYA183" s="141"/>
      <c r="JYB183" s="141"/>
      <c r="JYC183" s="141"/>
      <c r="JYD183" s="141"/>
      <c r="JYE183" s="141"/>
      <c r="JYF183" s="141"/>
      <c r="JYG183" s="141"/>
      <c r="JYH183" s="141"/>
      <c r="JYI183" s="141"/>
      <c r="JYJ183" s="141"/>
      <c r="JYK183" s="141"/>
      <c r="JYL183" s="141"/>
      <c r="JYM183" s="141"/>
      <c r="JYN183" s="141"/>
      <c r="JYO183" s="141"/>
      <c r="JYP183" s="141"/>
      <c r="JYQ183" s="141"/>
      <c r="JYR183" s="141"/>
      <c r="JYS183" s="141"/>
      <c r="JYT183" s="141"/>
      <c r="JYU183" s="141"/>
      <c r="JYV183" s="141"/>
      <c r="JYW183" s="141"/>
      <c r="JYX183" s="141"/>
      <c r="JYY183" s="141"/>
      <c r="JYZ183" s="141"/>
      <c r="JZA183" s="141"/>
      <c r="JZB183" s="141"/>
      <c r="JZC183" s="141"/>
      <c r="JZD183" s="141"/>
      <c r="JZE183" s="141"/>
      <c r="JZF183" s="141"/>
      <c r="JZG183" s="141"/>
      <c r="JZH183" s="141"/>
      <c r="JZI183" s="141"/>
      <c r="JZJ183" s="141"/>
      <c r="JZK183" s="141"/>
      <c r="JZL183" s="141"/>
      <c r="JZM183" s="141"/>
      <c r="JZN183" s="141"/>
      <c r="JZO183" s="141"/>
      <c r="JZP183" s="141"/>
      <c r="JZQ183" s="141"/>
      <c r="JZR183" s="141"/>
      <c r="JZS183" s="141"/>
      <c r="JZT183" s="141"/>
      <c r="JZU183" s="141"/>
      <c r="JZV183" s="141"/>
      <c r="JZW183" s="141"/>
      <c r="JZX183" s="141"/>
      <c r="JZY183" s="141"/>
      <c r="JZZ183" s="141"/>
      <c r="KAA183" s="141"/>
      <c r="KAB183" s="141"/>
      <c r="KAC183" s="141"/>
      <c r="KAD183" s="141"/>
      <c r="KAE183" s="141"/>
      <c r="KAF183" s="141"/>
      <c r="KAG183" s="141"/>
      <c r="KAH183" s="141"/>
      <c r="KAI183" s="141"/>
      <c r="KAJ183" s="141"/>
      <c r="KAK183" s="141"/>
      <c r="KAL183" s="141"/>
      <c r="KAM183" s="141"/>
      <c r="KAN183" s="141"/>
      <c r="KAO183" s="141"/>
      <c r="KAP183" s="141"/>
      <c r="KAQ183" s="141"/>
      <c r="KAR183" s="141"/>
      <c r="KAS183" s="141"/>
      <c r="KAT183" s="141"/>
      <c r="KAU183" s="141"/>
      <c r="KAV183" s="141"/>
      <c r="KAW183" s="141"/>
      <c r="KAX183" s="141"/>
      <c r="KAY183" s="141"/>
      <c r="KAZ183" s="141"/>
      <c r="KBA183" s="141"/>
      <c r="KBB183" s="141"/>
      <c r="KBC183" s="141"/>
      <c r="KBD183" s="141"/>
      <c r="KBE183" s="141"/>
      <c r="KBF183" s="141"/>
      <c r="KBG183" s="141"/>
      <c r="KBH183" s="141"/>
      <c r="KBI183" s="141"/>
      <c r="KBJ183" s="141"/>
      <c r="KBK183" s="141"/>
      <c r="KBL183" s="141"/>
      <c r="KBM183" s="141"/>
      <c r="KBN183" s="141"/>
      <c r="KBO183" s="141"/>
      <c r="KBP183" s="141"/>
      <c r="KBQ183" s="141"/>
      <c r="KBR183" s="141"/>
      <c r="KBS183" s="141"/>
      <c r="KBT183" s="141"/>
      <c r="KBU183" s="141"/>
      <c r="KBV183" s="141"/>
      <c r="KBW183" s="141"/>
      <c r="KBX183" s="141"/>
      <c r="KBY183" s="141"/>
      <c r="KBZ183" s="141"/>
      <c r="KCA183" s="141"/>
      <c r="KCB183" s="141"/>
      <c r="KCC183" s="141"/>
      <c r="KCD183" s="141"/>
      <c r="KCE183" s="141"/>
      <c r="KCF183" s="141"/>
      <c r="KCG183" s="141"/>
      <c r="KCH183" s="141"/>
      <c r="KCI183" s="141"/>
      <c r="KCJ183" s="141"/>
      <c r="KCK183" s="141"/>
      <c r="KCL183" s="141"/>
      <c r="KCM183" s="141"/>
      <c r="KCN183" s="141"/>
      <c r="KCO183" s="141"/>
      <c r="KCP183" s="141"/>
      <c r="KCQ183" s="141"/>
      <c r="KCR183" s="141"/>
      <c r="KCS183" s="141"/>
      <c r="KCT183" s="141"/>
      <c r="KCU183" s="141"/>
      <c r="KCV183" s="141"/>
      <c r="KCW183" s="141"/>
      <c r="KCX183" s="141"/>
      <c r="KCY183" s="141"/>
      <c r="KCZ183" s="141"/>
      <c r="KDA183" s="141"/>
      <c r="KDB183" s="141"/>
      <c r="KDC183" s="141"/>
      <c r="KDD183" s="141"/>
      <c r="KDE183" s="141"/>
      <c r="KDF183" s="141"/>
      <c r="KDG183" s="141"/>
      <c r="KDH183" s="141"/>
      <c r="KDI183" s="141"/>
      <c r="KDJ183" s="141"/>
      <c r="KDK183" s="141"/>
      <c r="KDL183" s="141"/>
      <c r="KDM183" s="141"/>
      <c r="KDN183" s="141"/>
      <c r="KDO183" s="141"/>
      <c r="KDP183" s="141"/>
      <c r="KDQ183" s="141"/>
      <c r="KDR183" s="141"/>
      <c r="KDS183" s="141"/>
      <c r="KDT183" s="141"/>
      <c r="KDU183" s="141"/>
      <c r="KDV183" s="141"/>
      <c r="KDW183" s="141"/>
      <c r="KDX183" s="141"/>
      <c r="KDY183" s="141"/>
      <c r="KDZ183" s="141"/>
      <c r="KEA183" s="141"/>
      <c r="KEB183" s="141"/>
      <c r="KEC183" s="141"/>
      <c r="KED183" s="141"/>
      <c r="KEE183" s="141"/>
      <c r="KEF183" s="141"/>
      <c r="KEG183" s="141"/>
      <c r="KEH183" s="141"/>
      <c r="KEI183" s="141"/>
      <c r="KEJ183" s="141"/>
      <c r="KEK183" s="141"/>
      <c r="KEL183" s="141"/>
      <c r="KEM183" s="141"/>
      <c r="KEN183" s="141"/>
      <c r="KEO183" s="141"/>
      <c r="KEP183" s="141"/>
      <c r="KEQ183" s="141"/>
      <c r="KER183" s="141"/>
      <c r="KES183" s="141"/>
      <c r="KET183" s="141"/>
      <c r="KEU183" s="141"/>
      <c r="KEV183" s="141"/>
      <c r="KEW183" s="141"/>
      <c r="KEX183" s="141"/>
      <c r="KEY183" s="141"/>
      <c r="KEZ183" s="141"/>
      <c r="KFA183" s="141"/>
      <c r="KFB183" s="141"/>
      <c r="KFC183" s="141"/>
      <c r="KFD183" s="141"/>
      <c r="KFE183" s="141"/>
      <c r="KFF183" s="141"/>
      <c r="KFG183" s="141"/>
      <c r="KFH183" s="141"/>
      <c r="KFI183" s="141"/>
      <c r="KFJ183" s="141"/>
      <c r="KFK183" s="141"/>
      <c r="KFL183" s="141"/>
      <c r="KFM183" s="141"/>
      <c r="KFN183" s="141"/>
      <c r="KFO183" s="141"/>
      <c r="KFP183" s="141"/>
      <c r="KFQ183" s="141"/>
      <c r="KFR183" s="141"/>
      <c r="KFS183" s="141"/>
      <c r="KFT183" s="141"/>
      <c r="KFU183" s="141"/>
      <c r="KFV183" s="141"/>
      <c r="KFW183" s="141"/>
      <c r="KFX183" s="141"/>
      <c r="KFY183" s="141"/>
      <c r="KFZ183" s="141"/>
      <c r="KGA183" s="141"/>
      <c r="KGB183" s="141"/>
      <c r="KGC183" s="141"/>
      <c r="KGD183" s="141"/>
      <c r="KGE183" s="141"/>
      <c r="KGF183" s="141"/>
      <c r="KGG183" s="141"/>
      <c r="KGH183" s="141"/>
      <c r="KGI183" s="141"/>
      <c r="KGJ183" s="141"/>
      <c r="KGK183" s="141"/>
      <c r="KGL183" s="141"/>
      <c r="KGM183" s="141"/>
      <c r="KGN183" s="141"/>
      <c r="KGO183" s="141"/>
      <c r="KGP183" s="141"/>
      <c r="KGQ183" s="141"/>
      <c r="KGR183" s="141"/>
      <c r="KGS183" s="141"/>
      <c r="KGT183" s="141"/>
      <c r="KGU183" s="141"/>
      <c r="KGV183" s="141"/>
      <c r="KGW183" s="141"/>
      <c r="KGX183" s="141"/>
      <c r="KGY183" s="141"/>
      <c r="KGZ183" s="141"/>
      <c r="KHA183" s="141"/>
      <c r="KHB183" s="141"/>
      <c r="KHC183" s="141"/>
      <c r="KHD183" s="141"/>
      <c r="KHE183" s="141"/>
      <c r="KHF183" s="141"/>
      <c r="KHG183" s="141"/>
      <c r="KHH183" s="141"/>
      <c r="KHI183" s="141"/>
      <c r="KHJ183" s="141"/>
      <c r="KHK183" s="141"/>
      <c r="KHL183" s="141"/>
      <c r="KHM183" s="141"/>
      <c r="KHN183" s="141"/>
      <c r="KHO183" s="141"/>
      <c r="KHP183" s="141"/>
      <c r="KHQ183" s="141"/>
      <c r="KHR183" s="141"/>
      <c r="KHS183" s="141"/>
      <c r="KHT183" s="141"/>
      <c r="KHU183" s="141"/>
      <c r="KHV183" s="141"/>
      <c r="KHW183" s="141"/>
      <c r="KHX183" s="141"/>
      <c r="KHY183" s="141"/>
      <c r="KHZ183" s="141"/>
      <c r="KIA183" s="141"/>
      <c r="KIB183" s="141"/>
      <c r="KIC183" s="141"/>
      <c r="KID183" s="141"/>
      <c r="KIE183" s="141"/>
      <c r="KIF183" s="141"/>
      <c r="KIG183" s="141"/>
      <c r="KIH183" s="141"/>
      <c r="KII183" s="141"/>
      <c r="KIJ183" s="141"/>
      <c r="KIK183" s="141"/>
      <c r="KIL183" s="141"/>
      <c r="KIM183" s="141"/>
      <c r="KIN183" s="141"/>
      <c r="KIO183" s="141"/>
      <c r="KIP183" s="141"/>
      <c r="KIQ183" s="141"/>
      <c r="KIR183" s="141"/>
      <c r="KIS183" s="141"/>
      <c r="KIT183" s="141"/>
      <c r="KIU183" s="141"/>
      <c r="KIV183" s="141"/>
      <c r="KIW183" s="141"/>
      <c r="KIX183" s="141"/>
      <c r="KIY183" s="141"/>
      <c r="KIZ183" s="141"/>
      <c r="KJA183" s="141"/>
      <c r="KJB183" s="141"/>
      <c r="KJC183" s="141"/>
      <c r="KJD183" s="141"/>
      <c r="KJE183" s="141"/>
      <c r="KJF183" s="141"/>
      <c r="KJG183" s="141"/>
      <c r="KJH183" s="141"/>
      <c r="KJI183" s="141"/>
      <c r="KJJ183" s="141"/>
      <c r="KJK183" s="141"/>
      <c r="KJL183" s="141"/>
      <c r="KJM183" s="141"/>
      <c r="KJN183" s="141"/>
      <c r="KJO183" s="141"/>
      <c r="KJP183" s="141"/>
      <c r="KJQ183" s="141"/>
      <c r="KJR183" s="141"/>
      <c r="KJS183" s="141"/>
      <c r="KJT183" s="141"/>
      <c r="KJU183" s="141"/>
      <c r="KJV183" s="141"/>
      <c r="KJW183" s="141"/>
      <c r="KJX183" s="141"/>
      <c r="KJY183" s="141"/>
      <c r="KJZ183" s="141"/>
      <c r="KKA183" s="141"/>
      <c r="KKB183" s="141"/>
      <c r="KKC183" s="141"/>
      <c r="KKD183" s="141"/>
      <c r="KKE183" s="141"/>
      <c r="KKF183" s="141"/>
      <c r="KKG183" s="141"/>
      <c r="KKH183" s="141"/>
      <c r="KKI183" s="141"/>
      <c r="KKJ183" s="141"/>
      <c r="KKK183" s="141"/>
      <c r="KKL183" s="141"/>
      <c r="KKM183" s="141"/>
      <c r="KKN183" s="141"/>
      <c r="KKO183" s="141"/>
      <c r="KKP183" s="141"/>
      <c r="KKQ183" s="141"/>
      <c r="KKR183" s="141"/>
      <c r="KKS183" s="141"/>
      <c r="KKT183" s="141"/>
      <c r="KKU183" s="141"/>
      <c r="KKV183" s="141"/>
      <c r="KKW183" s="141"/>
      <c r="KKX183" s="141"/>
      <c r="KKY183" s="141"/>
      <c r="KKZ183" s="141"/>
      <c r="KLA183" s="141"/>
      <c r="KLB183" s="141"/>
      <c r="KLC183" s="141"/>
      <c r="KLD183" s="141"/>
      <c r="KLE183" s="141"/>
      <c r="KLF183" s="141"/>
      <c r="KLG183" s="141"/>
      <c r="KLH183" s="141"/>
      <c r="KLI183" s="141"/>
      <c r="KLJ183" s="141"/>
      <c r="KLK183" s="141"/>
      <c r="KLL183" s="141"/>
      <c r="KLM183" s="141"/>
      <c r="KLN183" s="141"/>
      <c r="KLO183" s="141"/>
      <c r="KLP183" s="141"/>
      <c r="KLQ183" s="141"/>
      <c r="KLR183" s="141"/>
      <c r="KLS183" s="141"/>
      <c r="KLT183" s="141"/>
      <c r="KLU183" s="141"/>
      <c r="KLV183" s="141"/>
      <c r="KLW183" s="141"/>
      <c r="KLX183" s="141"/>
      <c r="KLY183" s="141"/>
      <c r="KLZ183" s="141"/>
      <c r="KMA183" s="141"/>
      <c r="KMB183" s="141"/>
      <c r="KMC183" s="141"/>
      <c r="KMD183" s="141"/>
      <c r="KME183" s="141"/>
      <c r="KMF183" s="141"/>
      <c r="KMG183" s="141"/>
      <c r="KMH183" s="141"/>
      <c r="KMI183" s="141"/>
      <c r="KMJ183" s="141"/>
      <c r="KMK183" s="141"/>
      <c r="KML183" s="141"/>
      <c r="KMM183" s="141"/>
      <c r="KMN183" s="141"/>
      <c r="KMO183" s="141"/>
      <c r="KMP183" s="141"/>
      <c r="KMQ183" s="141"/>
      <c r="KMR183" s="141"/>
      <c r="KMS183" s="141"/>
      <c r="KMT183" s="141"/>
      <c r="KMU183" s="141"/>
      <c r="KMV183" s="141"/>
      <c r="KMW183" s="141"/>
      <c r="KMX183" s="141"/>
      <c r="KMY183" s="141"/>
      <c r="KMZ183" s="141"/>
      <c r="KNA183" s="141"/>
      <c r="KNB183" s="141"/>
      <c r="KNC183" s="141"/>
      <c r="KND183" s="141"/>
      <c r="KNE183" s="141"/>
      <c r="KNF183" s="141"/>
      <c r="KNG183" s="141"/>
      <c r="KNH183" s="141"/>
      <c r="KNI183" s="141"/>
      <c r="KNJ183" s="141"/>
      <c r="KNK183" s="141"/>
      <c r="KNL183" s="141"/>
      <c r="KNM183" s="141"/>
      <c r="KNN183" s="141"/>
      <c r="KNO183" s="141"/>
      <c r="KNP183" s="141"/>
      <c r="KNQ183" s="141"/>
      <c r="KNR183" s="141"/>
      <c r="KNS183" s="141"/>
      <c r="KNT183" s="141"/>
      <c r="KNU183" s="141"/>
      <c r="KNV183" s="141"/>
      <c r="KNW183" s="141"/>
      <c r="KNX183" s="141"/>
      <c r="KNY183" s="141"/>
      <c r="KNZ183" s="141"/>
      <c r="KOA183" s="141"/>
      <c r="KOB183" s="141"/>
      <c r="KOC183" s="141"/>
      <c r="KOD183" s="141"/>
      <c r="KOE183" s="141"/>
      <c r="KOF183" s="141"/>
      <c r="KOG183" s="141"/>
      <c r="KOH183" s="141"/>
      <c r="KOI183" s="141"/>
      <c r="KOJ183" s="141"/>
      <c r="KOK183" s="141"/>
      <c r="KOL183" s="141"/>
      <c r="KOM183" s="141"/>
      <c r="KON183" s="141"/>
      <c r="KOO183" s="141"/>
      <c r="KOP183" s="141"/>
      <c r="KOQ183" s="141"/>
      <c r="KOR183" s="141"/>
      <c r="KOS183" s="141"/>
      <c r="KOT183" s="141"/>
      <c r="KOU183" s="141"/>
      <c r="KOV183" s="141"/>
      <c r="KOW183" s="141"/>
      <c r="KOX183" s="141"/>
      <c r="KOY183" s="141"/>
      <c r="KOZ183" s="141"/>
      <c r="KPA183" s="141"/>
      <c r="KPB183" s="141"/>
      <c r="KPC183" s="141"/>
      <c r="KPD183" s="141"/>
      <c r="KPE183" s="141"/>
      <c r="KPF183" s="141"/>
      <c r="KPG183" s="141"/>
      <c r="KPH183" s="141"/>
      <c r="KPI183" s="141"/>
      <c r="KPJ183" s="141"/>
      <c r="KPK183" s="141"/>
      <c r="KPL183" s="141"/>
      <c r="KPM183" s="141"/>
      <c r="KPN183" s="141"/>
      <c r="KPO183" s="141"/>
      <c r="KPP183" s="141"/>
      <c r="KPQ183" s="141"/>
      <c r="KPR183" s="141"/>
      <c r="KPS183" s="141"/>
      <c r="KPT183" s="141"/>
      <c r="KPU183" s="141"/>
      <c r="KPV183" s="141"/>
      <c r="KPW183" s="141"/>
      <c r="KPX183" s="141"/>
      <c r="KPY183" s="141"/>
      <c r="KPZ183" s="141"/>
      <c r="KQA183" s="141"/>
      <c r="KQB183" s="141"/>
      <c r="KQC183" s="141"/>
      <c r="KQD183" s="141"/>
      <c r="KQE183" s="141"/>
      <c r="KQF183" s="141"/>
      <c r="KQG183" s="141"/>
      <c r="KQH183" s="141"/>
      <c r="KQI183" s="141"/>
      <c r="KQJ183" s="141"/>
      <c r="KQK183" s="141"/>
      <c r="KQL183" s="141"/>
      <c r="KQM183" s="141"/>
      <c r="KQN183" s="141"/>
      <c r="KQO183" s="141"/>
      <c r="KQP183" s="141"/>
      <c r="KQQ183" s="141"/>
      <c r="KQR183" s="141"/>
      <c r="KQS183" s="141"/>
      <c r="KQT183" s="141"/>
      <c r="KQU183" s="141"/>
      <c r="KQV183" s="141"/>
      <c r="KQW183" s="141"/>
      <c r="KQX183" s="141"/>
      <c r="KQY183" s="141"/>
      <c r="KQZ183" s="141"/>
      <c r="KRA183" s="141"/>
      <c r="KRB183" s="141"/>
      <c r="KRC183" s="141"/>
      <c r="KRD183" s="141"/>
      <c r="KRE183" s="141"/>
      <c r="KRF183" s="141"/>
      <c r="KRG183" s="141"/>
      <c r="KRH183" s="141"/>
      <c r="KRI183" s="141"/>
      <c r="KRJ183" s="141"/>
      <c r="KRK183" s="141"/>
      <c r="KRL183" s="141"/>
      <c r="KRM183" s="141"/>
      <c r="KRN183" s="141"/>
      <c r="KRO183" s="141"/>
      <c r="KRP183" s="141"/>
      <c r="KRQ183" s="141"/>
      <c r="KRR183" s="141"/>
      <c r="KRS183" s="141"/>
      <c r="KRT183" s="141"/>
      <c r="KRU183" s="141"/>
      <c r="KRV183" s="141"/>
      <c r="KRW183" s="141"/>
      <c r="KRX183" s="141"/>
      <c r="KRY183" s="141"/>
      <c r="KRZ183" s="141"/>
      <c r="KSA183" s="141"/>
      <c r="KSB183" s="141"/>
      <c r="KSC183" s="141"/>
      <c r="KSD183" s="141"/>
      <c r="KSE183" s="141"/>
      <c r="KSF183" s="141"/>
      <c r="KSG183" s="141"/>
      <c r="KSH183" s="141"/>
      <c r="KSI183" s="141"/>
      <c r="KSJ183" s="141"/>
      <c r="KSK183" s="141"/>
      <c r="KSL183" s="141"/>
      <c r="KSM183" s="141"/>
      <c r="KSN183" s="141"/>
      <c r="KSO183" s="141"/>
      <c r="KSP183" s="141"/>
      <c r="KSQ183" s="141"/>
      <c r="KSR183" s="141"/>
      <c r="KSS183" s="141"/>
      <c r="KST183" s="141"/>
      <c r="KSU183" s="141"/>
      <c r="KSV183" s="141"/>
      <c r="KSW183" s="141"/>
      <c r="KSX183" s="141"/>
      <c r="KSY183" s="141"/>
      <c r="KSZ183" s="141"/>
      <c r="KTA183" s="141"/>
      <c r="KTB183" s="141"/>
      <c r="KTC183" s="141"/>
      <c r="KTD183" s="141"/>
      <c r="KTE183" s="141"/>
      <c r="KTF183" s="141"/>
      <c r="KTG183" s="141"/>
      <c r="KTH183" s="141"/>
      <c r="KTI183" s="141"/>
      <c r="KTJ183" s="141"/>
      <c r="KTK183" s="141"/>
      <c r="KTL183" s="141"/>
      <c r="KTM183" s="141"/>
      <c r="KTN183" s="141"/>
      <c r="KTO183" s="141"/>
      <c r="KTP183" s="141"/>
      <c r="KTQ183" s="141"/>
      <c r="KTR183" s="141"/>
      <c r="KTS183" s="141"/>
      <c r="KTT183" s="141"/>
      <c r="KTU183" s="141"/>
      <c r="KTV183" s="141"/>
      <c r="KTW183" s="141"/>
      <c r="KTX183" s="141"/>
      <c r="KTY183" s="141"/>
      <c r="KTZ183" s="141"/>
      <c r="KUA183" s="141"/>
      <c r="KUB183" s="141"/>
      <c r="KUC183" s="141"/>
      <c r="KUD183" s="141"/>
      <c r="KUE183" s="141"/>
      <c r="KUF183" s="141"/>
      <c r="KUG183" s="141"/>
      <c r="KUH183" s="141"/>
      <c r="KUI183" s="141"/>
      <c r="KUJ183" s="141"/>
      <c r="KUK183" s="141"/>
      <c r="KUL183" s="141"/>
      <c r="KUM183" s="141"/>
      <c r="KUN183" s="141"/>
      <c r="KUO183" s="141"/>
      <c r="KUP183" s="141"/>
      <c r="KUQ183" s="141"/>
      <c r="KUR183" s="141"/>
      <c r="KUS183" s="141"/>
      <c r="KUT183" s="141"/>
      <c r="KUU183" s="141"/>
      <c r="KUV183" s="141"/>
      <c r="KUW183" s="141"/>
      <c r="KUX183" s="141"/>
      <c r="KUY183" s="141"/>
      <c r="KUZ183" s="141"/>
      <c r="KVA183" s="141"/>
      <c r="KVB183" s="141"/>
      <c r="KVC183" s="141"/>
      <c r="KVD183" s="141"/>
      <c r="KVE183" s="141"/>
      <c r="KVF183" s="141"/>
      <c r="KVG183" s="141"/>
      <c r="KVH183" s="141"/>
      <c r="KVI183" s="141"/>
      <c r="KVJ183" s="141"/>
      <c r="KVK183" s="141"/>
      <c r="KVL183" s="141"/>
      <c r="KVM183" s="141"/>
      <c r="KVN183" s="141"/>
      <c r="KVO183" s="141"/>
      <c r="KVP183" s="141"/>
      <c r="KVQ183" s="141"/>
      <c r="KVR183" s="141"/>
      <c r="KVS183" s="141"/>
      <c r="KVT183" s="141"/>
      <c r="KVU183" s="141"/>
      <c r="KVV183" s="141"/>
      <c r="KVW183" s="141"/>
      <c r="KVX183" s="141"/>
      <c r="KVY183" s="141"/>
      <c r="KVZ183" s="141"/>
      <c r="KWA183" s="141"/>
      <c r="KWB183" s="141"/>
      <c r="KWC183" s="141"/>
      <c r="KWD183" s="141"/>
      <c r="KWE183" s="141"/>
      <c r="KWF183" s="141"/>
      <c r="KWG183" s="141"/>
      <c r="KWH183" s="141"/>
      <c r="KWI183" s="141"/>
      <c r="KWJ183" s="141"/>
      <c r="KWK183" s="141"/>
      <c r="KWL183" s="141"/>
      <c r="KWM183" s="141"/>
      <c r="KWN183" s="141"/>
      <c r="KWO183" s="141"/>
      <c r="KWP183" s="141"/>
      <c r="KWQ183" s="141"/>
      <c r="KWR183" s="141"/>
      <c r="KWS183" s="141"/>
      <c r="KWT183" s="141"/>
      <c r="KWU183" s="141"/>
      <c r="KWV183" s="141"/>
      <c r="KWW183" s="141"/>
      <c r="KWX183" s="141"/>
      <c r="KWY183" s="141"/>
      <c r="KWZ183" s="141"/>
      <c r="KXA183" s="141"/>
      <c r="KXB183" s="141"/>
      <c r="KXC183" s="141"/>
      <c r="KXD183" s="141"/>
      <c r="KXE183" s="141"/>
      <c r="KXF183" s="141"/>
      <c r="KXG183" s="141"/>
      <c r="KXH183" s="141"/>
      <c r="KXI183" s="141"/>
      <c r="KXJ183" s="141"/>
      <c r="KXK183" s="141"/>
      <c r="KXL183" s="141"/>
      <c r="KXM183" s="141"/>
      <c r="KXN183" s="141"/>
      <c r="KXO183" s="141"/>
      <c r="KXP183" s="141"/>
      <c r="KXQ183" s="141"/>
      <c r="KXR183" s="141"/>
      <c r="KXS183" s="141"/>
      <c r="KXT183" s="141"/>
      <c r="KXU183" s="141"/>
      <c r="KXV183" s="141"/>
      <c r="KXW183" s="141"/>
      <c r="KXX183" s="141"/>
      <c r="KXY183" s="141"/>
      <c r="KXZ183" s="141"/>
      <c r="KYA183" s="141"/>
      <c r="KYB183" s="141"/>
      <c r="KYC183" s="141"/>
      <c r="KYD183" s="141"/>
      <c r="KYE183" s="141"/>
      <c r="KYF183" s="141"/>
      <c r="KYG183" s="141"/>
      <c r="KYH183" s="141"/>
      <c r="KYI183" s="141"/>
      <c r="KYJ183" s="141"/>
      <c r="KYK183" s="141"/>
      <c r="KYL183" s="141"/>
      <c r="KYM183" s="141"/>
      <c r="KYN183" s="141"/>
      <c r="KYO183" s="141"/>
      <c r="KYP183" s="141"/>
      <c r="KYQ183" s="141"/>
      <c r="KYR183" s="141"/>
      <c r="KYS183" s="141"/>
      <c r="KYT183" s="141"/>
      <c r="KYU183" s="141"/>
      <c r="KYV183" s="141"/>
      <c r="KYW183" s="141"/>
      <c r="KYX183" s="141"/>
      <c r="KYY183" s="141"/>
      <c r="KYZ183" s="141"/>
      <c r="KZA183" s="141"/>
      <c r="KZB183" s="141"/>
      <c r="KZC183" s="141"/>
      <c r="KZD183" s="141"/>
      <c r="KZE183" s="141"/>
      <c r="KZF183" s="141"/>
      <c r="KZG183" s="141"/>
      <c r="KZH183" s="141"/>
      <c r="KZI183" s="141"/>
      <c r="KZJ183" s="141"/>
      <c r="KZK183" s="141"/>
      <c r="KZL183" s="141"/>
      <c r="KZM183" s="141"/>
      <c r="KZN183" s="141"/>
      <c r="KZO183" s="141"/>
      <c r="KZP183" s="141"/>
      <c r="KZQ183" s="141"/>
      <c r="KZR183" s="141"/>
      <c r="KZS183" s="141"/>
      <c r="KZT183" s="141"/>
      <c r="KZU183" s="141"/>
      <c r="KZV183" s="141"/>
      <c r="KZW183" s="141"/>
      <c r="KZX183" s="141"/>
      <c r="KZY183" s="141"/>
      <c r="KZZ183" s="141"/>
      <c r="LAA183" s="141"/>
      <c r="LAB183" s="141"/>
      <c r="LAC183" s="141"/>
      <c r="LAD183" s="141"/>
      <c r="LAE183" s="141"/>
      <c r="LAF183" s="141"/>
      <c r="LAG183" s="141"/>
      <c r="LAH183" s="141"/>
      <c r="LAI183" s="141"/>
      <c r="LAJ183" s="141"/>
      <c r="LAK183" s="141"/>
      <c r="LAL183" s="141"/>
      <c r="LAM183" s="141"/>
      <c r="LAN183" s="141"/>
      <c r="LAO183" s="141"/>
      <c r="LAP183" s="141"/>
      <c r="LAQ183" s="141"/>
      <c r="LAR183" s="141"/>
      <c r="LAS183" s="141"/>
      <c r="LAT183" s="141"/>
      <c r="LAU183" s="141"/>
      <c r="LAV183" s="141"/>
      <c r="LAW183" s="141"/>
      <c r="LAX183" s="141"/>
      <c r="LAY183" s="141"/>
      <c r="LAZ183" s="141"/>
      <c r="LBA183" s="141"/>
      <c r="LBB183" s="141"/>
      <c r="LBC183" s="141"/>
      <c r="LBD183" s="141"/>
      <c r="LBE183" s="141"/>
      <c r="LBF183" s="141"/>
      <c r="LBG183" s="141"/>
      <c r="LBH183" s="141"/>
      <c r="LBI183" s="141"/>
      <c r="LBJ183" s="141"/>
      <c r="LBK183" s="141"/>
      <c r="LBL183" s="141"/>
      <c r="LBM183" s="141"/>
      <c r="LBN183" s="141"/>
      <c r="LBO183" s="141"/>
      <c r="LBP183" s="141"/>
      <c r="LBQ183" s="141"/>
      <c r="LBR183" s="141"/>
      <c r="LBS183" s="141"/>
      <c r="LBT183" s="141"/>
      <c r="LBU183" s="141"/>
      <c r="LBV183" s="141"/>
      <c r="LBW183" s="141"/>
      <c r="LBX183" s="141"/>
      <c r="LBY183" s="141"/>
      <c r="LBZ183" s="141"/>
      <c r="LCA183" s="141"/>
      <c r="LCB183" s="141"/>
      <c r="LCC183" s="141"/>
      <c r="LCD183" s="141"/>
      <c r="LCE183" s="141"/>
      <c r="LCF183" s="141"/>
      <c r="LCG183" s="141"/>
      <c r="LCH183" s="141"/>
      <c r="LCI183" s="141"/>
      <c r="LCJ183" s="141"/>
      <c r="LCK183" s="141"/>
      <c r="LCL183" s="141"/>
      <c r="LCM183" s="141"/>
      <c r="LCN183" s="141"/>
      <c r="LCO183" s="141"/>
      <c r="LCP183" s="141"/>
      <c r="LCQ183" s="141"/>
      <c r="LCR183" s="141"/>
      <c r="LCS183" s="141"/>
      <c r="LCT183" s="141"/>
      <c r="LCU183" s="141"/>
      <c r="LCV183" s="141"/>
      <c r="LCW183" s="141"/>
      <c r="LCX183" s="141"/>
      <c r="LCY183" s="141"/>
      <c r="LCZ183" s="141"/>
      <c r="LDA183" s="141"/>
      <c r="LDB183" s="141"/>
      <c r="LDC183" s="141"/>
      <c r="LDD183" s="141"/>
      <c r="LDE183" s="141"/>
      <c r="LDF183" s="141"/>
      <c r="LDG183" s="141"/>
      <c r="LDH183" s="141"/>
      <c r="LDI183" s="141"/>
      <c r="LDJ183" s="141"/>
      <c r="LDK183" s="141"/>
      <c r="LDL183" s="141"/>
      <c r="LDM183" s="141"/>
      <c r="LDN183" s="141"/>
      <c r="LDO183" s="141"/>
      <c r="LDP183" s="141"/>
      <c r="LDQ183" s="141"/>
      <c r="LDR183" s="141"/>
      <c r="LDS183" s="141"/>
      <c r="LDT183" s="141"/>
      <c r="LDU183" s="141"/>
      <c r="LDV183" s="141"/>
      <c r="LDW183" s="141"/>
      <c r="LDX183" s="141"/>
      <c r="LDY183" s="141"/>
      <c r="LDZ183" s="141"/>
      <c r="LEA183" s="141"/>
      <c r="LEB183" s="141"/>
      <c r="LEC183" s="141"/>
      <c r="LED183" s="141"/>
      <c r="LEE183" s="141"/>
      <c r="LEF183" s="141"/>
      <c r="LEG183" s="141"/>
      <c r="LEH183" s="141"/>
      <c r="LEI183" s="141"/>
      <c r="LEJ183" s="141"/>
      <c r="LEK183" s="141"/>
      <c r="LEL183" s="141"/>
      <c r="LEM183" s="141"/>
      <c r="LEN183" s="141"/>
      <c r="LEO183" s="141"/>
      <c r="LEP183" s="141"/>
      <c r="LEQ183" s="141"/>
      <c r="LER183" s="141"/>
      <c r="LES183" s="141"/>
      <c r="LET183" s="141"/>
      <c r="LEU183" s="141"/>
      <c r="LEV183" s="141"/>
      <c r="LEW183" s="141"/>
      <c r="LEX183" s="141"/>
      <c r="LEY183" s="141"/>
      <c r="LEZ183" s="141"/>
      <c r="LFA183" s="141"/>
      <c r="LFB183" s="141"/>
      <c r="LFC183" s="141"/>
      <c r="LFD183" s="141"/>
      <c r="LFE183" s="141"/>
      <c r="LFF183" s="141"/>
      <c r="LFG183" s="141"/>
      <c r="LFH183" s="141"/>
      <c r="LFI183" s="141"/>
      <c r="LFJ183" s="141"/>
      <c r="LFK183" s="141"/>
      <c r="LFL183" s="141"/>
      <c r="LFM183" s="141"/>
      <c r="LFN183" s="141"/>
      <c r="LFO183" s="141"/>
      <c r="LFP183" s="141"/>
      <c r="LFQ183" s="141"/>
      <c r="LFR183" s="141"/>
      <c r="LFS183" s="141"/>
      <c r="LFT183" s="141"/>
      <c r="LFU183" s="141"/>
      <c r="LFV183" s="141"/>
      <c r="LFW183" s="141"/>
      <c r="LFX183" s="141"/>
      <c r="LFY183" s="141"/>
      <c r="LFZ183" s="141"/>
      <c r="LGA183" s="141"/>
      <c r="LGB183" s="141"/>
      <c r="LGC183" s="141"/>
      <c r="LGD183" s="141"/>
      <c r="LGE183" s="141"/>
      <c r="LGF183" s="141"/>
      <c r="LGG183" s="141"/>
      <c r="LGH183" s="141"/>
      <c r="LGI183" s="141"/>
      <c r="LGJ183" s="141"/>
      <c r="LGK183" s="141"/>
      <c r="LGL183" s="141"/>
      <c r="LGM183" s="141"/>
      <c r="LGN183" s="141"/>
      <c r="LGO183" s="141"/>
      <c r="LGP183" s="141"/>
      <c r="LGQ183" s="141"/>
      <c r="LGR183" s="141"/>
      <c r="LGS183" s="141"/>
      <c r="LGT183" s="141"/>
      <c r="LGU183" s="141"/>
      <c r="LGV183" s="141"/>
      <c r="LGW183" s="141"/>
      <c r="LGX183" s="141"/>
      <c r="LGY183" s="141"/>
      <c r="LGZ183" s="141"/>
      <c r="LHA183" s="141"/>
      <c r="LHB183" s="141"/>
      <c r="LHC183" s="141"/>
      <c r="LHD183" s="141"/>
      <c r="LHE183" s="141"/>
      <c r="LHF183" s="141"/>
      <c r="LHG183" s="141"/>
      <c r="LHH183" s="141"/>
      <c r="LHI183" s="141"/>
      <c r="LHJ183" s="141"/>
      <c r="LHK183" s="141"/>
      <c r="LHL183" s="141"/>
      <c r="LHM183" s="141"/>
      <c r="LHN183" s="141"/>
      <c r="LHO183" s="141"/>
      <c r="LHP183" s="141"/>
      <c r="LHQ183" s="141"/>
      <c r="LHR183" s="141"/>
      <c r="LHS183" s="141"/>
      <c r="LHT183" s="141"/>
      <c r="LHU183" s="141"/>
      <c r="LHV183" s="141"/>
      <c r="LHW183" s="141"/>
      <c r="LHX183" s="141"/>
      <c r="LHY183" s="141"/>
      <c r="LHZ183" s="141"/>
      <c r="LIA183" s="141"/>
      <c r="LIB183" s="141"/>
      <c r="LIC183" s="141"/>
      <c r="LID183" s="141"/>
      <c r="LIE183" s="141"/>
      <c r="LIF183" s="141"/>
      <c r="LIG183" s="141"/>
      <c r="LIH183" s="141"/>
      <c r="LII183" s="141"/>
      <c r="LIJ183" s="141"/>
      <c r="LIK183" s="141"/>
      <c r="LIL183" s="141"/>
      <c r="LIM183" s="141"/>
      <c r="LIN183" s="141"/>
      <c r="LIO183" s="141"/>
      <c r="LIP183" s="141"/>
      <c r="LIQ183" s="141"/>
      <c r="LIR183" s="141"/>
      <c r="LIS183" s="141"/>
      <c r="LIT183" s="141"/>
      <c r="LIU183" s="141"/>
      <c r="LIV183" s="141"/>
      <c r="LIW183" s="141"/>
      <c r="LIX183" s="141"/>
      <c r="LIY183" s="141"/>
      <c r="LIZ183" s="141"/>
      <c r="LJA183" s="141"/>
      <c r="LJB183" s="141"/>
      <c r="LJC183" s="141"/>
      <c r="LJD183" s="141"/>
      <c r="LJE183" s="141"/>
      <c r="LJF183" s="141"/>
      <c r="LJG183" s="141"/>
      <c r="LJH183" s="141"/>
      <c r="LJI183" s="141"/>
      <c r="LJJ183" s="141"/>
      <c r="LJK183" s="141"/>
      <c r="LJL183" s="141"/>
      <c r="LJM183" s="141"/>
      <c r="LJN183" s="141"/>
      <c r="LJO183" s="141"/>
      <c r="LJP183" s="141"/>
      <c r="LJQ183" s="141"/>
      <c r="LJR183" s="141"/>
      <c r="LJS183" s="141"/>
      <c r="LJT183" s="141"/>
      <c r="LJU183" s="141"/>
      <c r="LJV183" s="141"/>
      <c r="LJW183" s="141"/>
      <c r="LJX183" s="141"/>
      <c r="LJY183" s="141"/>
      <c r="LJZ183" s="141"/>
      <c r="LKA183" s="141"/>
      <c r="LKB183" s="141"/>
      <c r="LKC183" s="141"/>
      <c r="LKD183" s="141"/>
      <c r="LKE183" s="141"/>
      <c r="LKF183" s="141"/>
      <c r="LKG183" s="141"/>
      <c r="LKH183" s="141"/>
      <c r="LKI183" s="141"/>
      <c r="LKJ183" s="141"/>
      <c r="LKK183" s="141"/>
      <c r="LKL183" s="141"/>
      <c r="LKM183" s="141"/>
      <c r="LKN183" s="141"/>
      <c r="LKO183" s="141"/>
      <c r="LKP183" s="141"/>
      <c r="LKQ183" s="141"/>
      <c r="LKR183" s="141"/>
      <c r="LKS183" s="141"/>
      <c r="LKT183" s="141"/>
      <c r="LKU183" s="141"/>
      <c r="LKV183" s="141"/>
      <c r="LKW183" s="141"/>
      <c r="LKX183" s="141"/>
      <c r="LKY183" s="141"/>
      <c r="LKZ183" s="141"/>
      <c r="LLA183" s="141"/>
      <c r="LLB183" s="141"/>
      <c r="LLC183" s="141"/>
      <c r="LLD183" s="141"/>
      <c r="LLE183" s="141"/>
      <c r="LLF183" s="141"/>
      <c r="LLG183" s="141"/>
      <c r="LLH183" s="141"/>
      <c r="LLI183" s="141"/>
      <c r="LLJ183" s="141"/>
      <c r="LLK183" s="141"/>
      <c r="LLL183" s="141"/>
      <c r="LLM183" s="141"/>
      <c r="LLN183" s="141"/>
      <c r="LLO183" s="141"/>
      <c r="LLP183" s="141"/>
      <c r="LLQ183" s="141"/>
      <c r="LLR183" s="141"/>
      <c r="LLS183" s="141"/>
      <c r="LLT183" s="141"/>
      <c r="LLU183" s="141"/>
      <c r="LLV183" s="141"/>
      <c r="LLW183" s="141"/>
      <c r="LLX183" s="141"/>
      <c r="LLY183" s="141"/>
      <c r="LLZ183" s="141"/>
      <c r="LMA183" s="141"/>
      <c r="LMB183" s="141"/>
      <c r="LMC183" s="141"/>
      <c r="LMD183" s="141"/>
      <c r="LME183" s="141"/>
      <c r="LMF183" s="141"/>
      <c r="LMG183" s="141"/>
      <c r="LMH183" s="141"/>
      <c r="LMI183" s="141"/>
      <c r="LMJ183" s="141"/>
      <c r="LMK183" s="141"/>
      <c r="LML183" s="141"/>
      <c r="LMM183" s="141"/>
      <c r="LMN183" s="141"/>
      <c r="LMO183" s="141"/>
      <c r="LMP183" s="141"/>
      <c r="LMQ183" s="141"/>
      <c r="LMR183" s="141"/>
      <c r="LMS183" s="141"/>
      <c r="LMT183" s="141"/>
      <c r="LMU183" s="141"/>
      <c r="LMV183" s="141"/>
      <c r="LMW183" s="141"/>
      <c r="LMX183" s="141"/>
      <c r="LMY183" s="141"/>
      <c r="LMZ183" s="141"/>
      <c r="LNA183" s="141"/>
      <c r="LNB183" s="141"/>
      <c r="LNC183" s="141"/>
      <c r="LND183" s="141"/>
      <c r="LNE183" s="141"/>
      <c r="LNF183" s="141"/>
      <c r="LNG183" s="141"/>
      <c r="LNH183" s="141"/>
      <c r="LNI183" s="141"/>
      <c r="LNJ183" s="141"/>
      <c r="LNK183" s="141"/>
      <c r="LNL183" s="141"/>
      <c r="LNM183" s="141"/>
      <c r="LNN183" s="141"/>
      <c r="LNO183" s="141"/>
      <c r="LNP183" s="141"/>
      <c r="LNQ183" s="141"/>
      <c r="LNR183" s="141"/>
      <c r="LNS183" s="141"/>
      <c r="LNT183" s="141"/>
      <c r="LNU183" s="141"/>
      <c r="LNV183" s="141"/>
      <c r="LNW183" s="141"/>
      <c r="LNX183" s="141"/>
      <c r="LNY183" s="141"/>
      <c r="LNZ183" s="141"/>
      <c r="LOA183" s="141"/>
      <c r="LOB183" s="141"/>
      <c r="LOC183" s="141"/>
      <c r="LOD183" s="141"/>
      <c r="LOE183" s="141"/>
      <c r="LOF183" s="141"/>
      <c r="LOG183" s="141"/>
      <c r="LOH183" s="141"/>
      <c r="LOI183" s="141"/>
      <c r="LOJ183" s="141"/>
      <c r="LOK183" s="141"/>
      <c r="LOL183" s="141"/>
      <c r="LOM183" s="141"/>
      <c r="LON183" s="141"/>
      <c r="LOO183" s="141"/>
      <c r="LOP183" s="141"/>
      <c r="LOQ183" s="141"/>
      <c r="LOR183" s="141"/>
      <c r="LOS183" s="141"/>
      <c r="LOT183" s="141"/>
      <c r="LOU183" s="141"/>
      <c r="LOV183" s="141"/>
      <c r="LOW183" s="141"/>
      <c r="LOX183" s="141"/>
      <c r="LOY183" s="141"/>
      <c r="LOZ183" s="141"/>
      <c r="LPA183" s="141"/>
      <c r="LPB183" s="141"/>
      <c r="LPC183" s="141"/>
      <c r="LPD183" s="141"/>
      <c r="LPE183" s="141"/>
      <c r="LPF183" s="141"/>
      <c r="LPG183" s="141"/>
      <c r="LPH183" s="141"/>
      <c r="LPI183" s="141"/>
      <c r="LPJ183" s="141"/>
      <c r="LPK183" s="141"/>
      <c r="LPL183" s="141"/>
      <c r="LPM183" s="141"/>
      <c r="LPN183" s="141"/>
      <c r="LPO183" s="141"/>
      <c r="LPP183" s="141"/>
      <c r="LPQ183" s="141"/>
      <c r="LPR183" s="141"/>
      <c r="LPS183" s="141"/>
      <c r="LPT183" s="141"/>
      <c r="LPU183" s="141"/>
      <c r="LPV183" s="141"/>
      <c r="LPW183" s="141"/>
      <c r="LPX183" s="141"/>
      <c r="LPY183" s="141"/>
      <c r="LPZ183" s="141"/>
      <c r="LQA183" s="141"/>
      <c r="LQB183" s="141"/>
      <c r="LQC183" s="141"/>
      <c r="LQD183" s="141"/>
      <c r="LQE183" s="141"/>
      <c r="LQF183" s="141"/>
      <c r="LQG183" s="141"/>
      <c r="LQH183" s="141"/>
      <c r="LQI183" s="141"/>
      <c r="LQJ183" s="141"/>
      <c r="LQK183" s="141"/>
      <c r="LQL183" s="141"/>
      <c r="LQM183" s="141"/>
      <c r="LQN183" s="141"/>
      <c r="LQO183" s="141"/>
      <c r="LQP183" s="141"/>
      <c r="LQQ183" s="141"/>
      <c r="LQR183" s="141"/>
      <c r="LQS183" s="141"/>
      <c r="LQT183" s="141"/>
      <c r="LQU183" s="141"/>
      <c r="LQV183" s="141"/>
      <c r="LQW183" s="141"/>
      <c r="LQX183" s="141"/>
      <c r="LQY183" s="141"/>
      <c r="LQZ183" s="141"/>
      <c r="LRA183" s="141"/>
      <c r="LRB183" s="141"/>
      <c r="LRC183" s="141"/>
      <c r="LRD183" s="141"/>
      <c r="LRE183" s="141"/>
      <c r="LRF183" s="141"/>
      <c r="LRG183" s="141"/>
      <c r="LRH183" s="141"/>
      <c r="LRI183" s="141"/>
      <c r="LRJ183" s="141"/>
      <c r="LRK183" s="141"/>
      <c r="LRL183" s="141"/>
      <c r="LRM183" s="141"/>
      <c r="LRN183" s="141"/>
      <c r="LRO183" s="141"/>
      <c r="LRP183" s="141"/>
      <c r="LRQ183" s="141"/>
      <c r="LRR183" s="141"/>
      <c r="LRS183" s="141"/>
      <c r="LRT183" s="141"/>
      <c r="LRU183" s="141"/>
      <c r="LRV183" s="141"/>
      <c r="LRW183" s="141"/>
      <c r="LRX183" s="141"/>
      <c r="LRY183" s="141"/>
      <c r="LRZ183" s="141"/>
      <c r="LSA183" s="141"/>
      <c r="LSB183" s="141"/>
      <c r="LSC183" s="141"/>
      <c r="LSD183" s="141"/>
      <c r="LSE183" s="141"/>
      <c r="LSF183" s="141"/>
      <c r="LSG183" s="141"/>
      <c r="LSH183" s="141"/>
      <c r="LSI183" s="141"/>
      <c r="LSJ183" s="141"/>
      <c r="LSK183" s="141"/>
      <c r="LSL183" s="141"/>
      <c r="LSM183" s="141"/>
      <c r="LSN183" s="141"/>
      <c r="LSO183" s="141"/>
      <c r="LSP183" s="141"/>
      <c r="LSQ183" s="141"/>
      <c r="LSR183" s="141"/>
      <c r="LSS183" s="141"/>
      <c r="LST183" s="141"/>
      <c r="LSU183" s="141"/>
      <c r="LSV183" s="141"/>
      <c r="LSW183" s="141"/>
      <c r="LSX183" s="141"/>
      <c r="LSY183" s="141"/>
      <c r="LSZ183" s="141"/>
      <c r="LTA183" s="141"/>
      <c r="LTB183" s="141"/>
      <c r="LTC183" s="141"/>
      <c r="LTD183" s="141"/>
      <c r="LTE183" s="141"/>
      <c r="LTF183" s="141"/>
      <c r="LTG183" s="141"/>
      <c r="LTH183" s="141"/>
      <c r="LTI183" s="141"/>
      <c r="LTJ183" s="141"/>
      <c r="LTK183" s="141"/>
      <c r="LTL183" s="141"/>
      <c r="LTM183" s="141"/>
      <c r="LTN183" s="141"/>
      <c r="LTO183" s="141"/>
      <c r="LTP183" s="141"/>
      <c r="LTQ183" s="141"/>
      <c r="LTR183" s="141"/>
      <c r="LTS183" s="141"/>
      <c r="LTT183" s="141"/>
      <c r="LTU183" s="141"/>
      <c r="LTV183" s="141"/>
      <c r="LTW183" s="141"/>
      <c r="LTX183" s="141"/>
      <c r="LTY183" s="141"/>
      <c r="LTZ183" s="141"/>
      <c r="LUA183" s="141"/>
      <c r="LUB183" s="141"/>
      <c r="LUC183" s="141"/>
      <c r="LUD183" s="141"/>
      <c r="LUE183" s="141"/>
      <c r="LUF183" s="141"/>
      <c r="LUG183" s="141"/>
      <c r="LUH183" s="141"/>
      <c r="LUI183" s="141"/>
      <c r="LUJ183" s="141"/>
      <c r="LUK183" s="141"/>
      <c r="LUL183" s="141"/>
      <c r="LUM183" s="141"/>
      <c r="LUN183" s="141"/>
      <c r="LUO183" s="141"/>
      <c r="LUP183" s="141"/>
      <c r="LUQ183" s="141"/>
      <c r="LUR183" s="141"/>
      <c r="LUS183" s="141"/>
      <c r="LUT183" s="141"/>
      <c r="LUU183" s="141"/>
      <c r="LUV183" s="141"/>
      <c r="LUW183" s="141"/>
      <c r="LUX183" s="141"/>
      <c r="LUY183" s="141"/>
      <c r="LUZ183" s="141"/>
      <c r="LVA183" s="141"/>
      <c r="LVB183" s="141"/>
      <c r="LVC183" s="141"/>
      <c r="LVD183" s="141"/>
      <c r="LVE183" s="141"/>
      <c r="LVF183" s="141"/>
      <c r="LVG183" s="141"/>
      <c r="LVH183" s="141"/>
      <c r="LVI183" s="141"/>
      <c r="LVJ183" s="141"/>
      <c r="LVK183" s="141"/>
      <c r="LVL183" s="141"/>
      <c r="LVM183" s="141"/>
      <c r="LVN183" s="141"/>
      <c r="LVO183" s="141"/>
      <c r="LVP183" s="141"/>
      <c r="LVQ183" s="141"/>
      <c r="LVR183" s="141"/>
      <c r="LVS183" s="141"/>
      <c r="LVT183" s="141"/>
      <c r="LVU183" s="141"/>
      <c r="LVV183" s="141"/>
      <c r="LVW183" s="141"/>
      <c r="LVX183" s="141"/>
      <c r="LVY183" s="141"/>
      <c r="LVZ183" s="141"/>
      <c r="LWA183" s="141"/>
      <c r="LWB183" s="141"/>
      <c r="LWC183" s="141"/>
      <c r="LWD183" s="141"/>
      <c r="LWE183" s="141"/>
      <c r="LWF183" s="141"/>
      <c r="LWG183" s="141"/>
      <c r="LWH183" s="141"/>
      <c r="LWI183" s="141"/>
      <c r="LWJ183" s="141"/>
      <c r="LWK183" s="141"/>
      <c r="LWL183" s="141"/>
      <c r="LWM183" s="141"/>
      <c r="LWN183" s="141"/>
      <c r="LWO183" s="141"/>
      <c r="LWP183" s="141"/>
      <c r="LWQ183" s="141"/>
      <c r="LWR183" s="141"/>
      <c r="LWS183" s="141"/>
      <c r="LWT183" s="141"/>
      <c r="LWU183" s="141"/>
      <c r="LWV183" s="141"/>
      <c r="LWW183" s="141"/>
      <c r="LWX183" s="141"/>
      <c r="LWY183" s="141"/>
      <c r="LWZ183" s="141"/>
      <c r="LXA183" s="141"/>
      <c r="LXB183" s="141"/>
      <c r="LXC183" s="141"/>
      <c r="LXD183" s="141"/>
      <c r="LXE183" s="141"/>
      <c r="LXF183" s="141"/>
      <c r="LXG183" s="141"/>
      <c r="LXH183" s="141"/>
      <c r="LXI183" s="141"/>
      <c r="LXJ183" s="141"/>
      <c r="LXK183" s="141"/>
      <c r="LXL183" s="141"/>
      <c r="LXM183" s="141"/>
      <c r="LXN183" s="141"/>
      <c r="LXO183" s="141"/>
      <c r="LXP183" s="141"/>
      <c r="LXQ183" s="141"/>
      <c r="LXR183" s="141"/>
      <c r="LXS183" s="141"/>
      <c r="LXT183" s="141"/>
      <c r="LXU183" s="141"/>
      <c r="LXV183" s="141"/>
      <c r="LXW183" s="141"/>
      <c r="LXX183" s="141"/>
      <c r="LXY183" s="141"/>
      <c r="LXZ183" s="141"/>
      <c r="LYA183" s="141"/>
      <c r="LYB183" s="141"/>
      <c r="LYC183" s="141"/>
      <c r="LYD183" s="141"/>
      <c r="LYE183" s="141"/>
      <c r="LYF183" s="141"/>
      <c r="LYG183" s="141"/>
      <c r="LYH183" s="141"/>
      <c r="LYI183" s="141"/>
      <c r="LYJ183" s="141"/>
      <c r="LYK183" s="141"/>
      <c r="LYL183" s="141"/>
      <c r="LYM183" s="141"/>
      <c r="LYN183" s="141"/>
      <c r="LYO183" s="141"/>
      <c r="LYP183" s="141"/>
      <c r="LYQ183" s="141"/>
      <c r="LYR183" s="141"/>
      <c r="LYS183" s="141"/>
      <c r="LYT183" s="141"/>
      <c r="LYU183" s="141"/>
      <c r="LYV183" s="141"/>
      <c r="LYW183" s="141"/>
      <c r="LYX183" s="141"/>
      <c r="LYY183" s="141"/>
      <c r="LYZ183" s="141"/>
      <c r="LZA183" s="141"/>
      <c r="LZB183" s="141"/>
      <c r="LZC183" s="141"/>
      <c r="LZD183" s="141"/>
      <c r="LZE183" s="141"/>
      <c r="LZF183" s="141"/>
      <c r="LZG183" s="141"/>
      <c r="LZH183" s="141"/>
      <c r="LZI183" s="141"/>
      <c r="LZJ183" s="141"/>
      <c r="LZK183" s="141"/>
      <c r="LZL183" s="141"/>
      <c r="LZM183" s="141"/>
      <c r="LZN183" s="141"/>
      <c r="LZO183" s="141"/>
      <c r="LZP183" s="141"/>
      <c r="LZQ183" s="141"/>
      <c r="LZR183" s="141"/>
      <c r="LZS183" s="141"/>
      <c r="LZT183" s="141"/>
      <c r="LZU183" s="141"/>
      <c r="LZV183" s="141"/>
      <c r="LZW183" s="141"/>
      <c r="LZX183" s="141"/>
      <c r="LZY183" s="141"/>
      <c r="LZZ183" s="141"/>
      <c r="MAA183" s="141"/>
      <c r="MAB183" s="141"/>
      <c r="MAC183" s="141"/>
      <c r="MAD183" s="141"/>
      <c r="MAE183" s="141"/>
      <c r="MAF183" s="141"/>
      <c r="MAG183" s="141"/>
      <c r="MAH183" s="141"/>
      <c r="MAI183" s="141"/>
      <c r="MAJ183" s="141"/>
      <c r="MAK183" s="141"/>
      <c r="MAL183" s="141"/>
      <c r="MAM183" s="141"/>
      <c r="MAN183" s="141"/>
      <c r="MAO183" s="141"/>
      <c r="MAP183" s="141"/>
      <c r="MAQ183" s="141"/>
      <c r="MAR183" s="141"/>
      <c r="MAS183" s="141"/>
      <c r="MAT183" s="141"/>
      <c r="MAU183" s="141"/>
      <c r="MAV183" s="141"/>
      <c r="MAW183" s="141"/>
      <c r="MAX183" s="141"/>
      <c r="MAY183" s="141"/>
      <c r="MAZ183" s="141"/>
      <c r="MBA183" s="141"/>
      <c r="MBB183" s="141"/>
      <c r="MBC183" s="141"/>
      <c r="MBD183" s="141"/>
      <c r="MBE183" s="141"/>
      <c r="MBF183" s="141"/>
      <c r="MBG183" s="141"/>
      <c r="MBH183" s="141"/>
      <c r="MBI183" s="141"/>
      <c r="MBJ183" s="141"/>
      <c r="MBK183" s="141"/>
      <c r="MBL183" s="141"/>
      <c r="MBM183" s="141"/>
      <c r="MBN183" s="141"/>
      <c r="MBO183" s="141"/>
      <c r="MBP183" s="141"/>
      <c r="MBQ183" s="141"/>
      <c r="MBR183" s="141"/>
      <c r="MBS183" s="141"/>
      <c r="MBT183" s="141"/>
      <c r="MBU183" s="141"/>
      <c r="MBV183" s="141"/>
      <c r="MBW183" s="141"/>
      <c r="MBX183" s="141"/>
      <c r="MBY183" s="141"/>
      <c r="MBZ183" s="141"/>
      <c r="MCA183" s="141"/>
      <c r="MCB183" s="141"/>
      <c r="MCC183" s="141"/>
      <c r="MCD183" s="141"/>
      <c r="MCE183" s="141"/>
      <c r="MCF183" s="141"/>
      <c r="MCG183" s="141"/>
      <c r="MCH183" s="141"/>
      <c r="MCI183" s="141"/>
      <c r="MCJ183" s="141"/>
      <c r="MCK183" s="141"/>
      <c r="MCL183" s="141"/>
      <c r="MCM183" s="141"/>
      <c r="MCN183" s="141"/>
      <c r="MCO183" s="141"/>
      <c r="MCP183" s="141"/>
      <c r="MCQ183" s="141"/>
      <c r="MCR183" s="141"/>
      <c r="MCS183" s="141"/>
      <c r="MCT183" s="141"/>
      <c r="MCU183" s="141"/>
      <c r="MCV183" s="141"/>
      <c r="MCW183" s="141"/>
      <c r="MCX183" s="141"/>
      <c r="MCY183" s="141"/>
      <c r="MCZ183" s="141"/>
      <c r="MDA183" s="141"/>
      <c r="MDB183" s="141"/>
      <c r="MDC183" s="141"/>
      <c r="MDD183" s="141"/>
      <c r="MDE183" s="141"/>
      <c r="MDF183" s="141"/>
      <c r="MDG183" s="141"/>
      <c r="MDH183" s="141"/>
      <c r="MDI183" s="141"/>
      <c r="MDJ183" s="141"/>
      <c r="MDK183" s="141"/>
      <c r="MDL183" s="141"/>
      <c r="MDM183" s="141"/>
      <c r="MDN183" s="141"/>
      <c r="MDO183" s="141"/>
      <c r="MDP183" s="141"/>
      <c r="MDQ183" s="141"/>
      <c r="MDR183" s="141"/>
      <c r="MDS183" s="141"/>
      <c r="MDT183" s="141"/>
      <c r="MDU183" s="141"/>
      <c r="MDV183" s="141"/>
      <c r="MDW183" s="141"/>
      <c r="MDX183" s="141"/>
      <c r="MDY183" s="141"/>
      <c r="MDZ183" s="141"/>
      <c r="MEA183" s="141"/>
      <c r="MEB183" s="141"/>
      <c r="MEC183" s="141"/>
      <c r="MED183" s="141"/>
      <c r="MEE183" s="141"/>
      <c r="MEF183" s="141"/>
      <c r="MEG183" s="141"/>
      <c r="MEH183" s="141"/>
      <c r="MEI183" s="141"/>
      <c r="MEJ183" s="141"/>
      <c r="MEK183" s="141"/>
      <c r="MEL183" s="141"/>
      <c r="MEM183" s="141"/>
      <c r="MEN183" s="141"/>
      <c r="MEO183" s="141"/>
      <c r="MEP183" s="141"/>
      <c r="MEQ183" s="141"/>
      <c r="MER183" s="141"/>
      <c r="MES183" s="141"/>
      <c r="MET183" s="141"/>
      <c r="MEU183" s="141"/>
      <c r="MEV183" s="141"/>
      <c r="MEW183" s="141"/>
      <c r="MEX183" s="141"/>
      <c r="MEY183" s="141"/>
      <c r="MEZ183" s="141"/>
      <c r="MFA183" s="141"/>
      <c r="MFB183" s="141"/>
      <c r="MFC183" s="141"/>
      <c r="MFD183" s="141"/>
      <c r="MFE183" s="141"/>
      <c r="MFF183" s="141"/>
      <c r="MFG183" s="141"/>
      <c r="MFH183" s="141"/>
      <c r="MFI183" s="141"/>
      <c r="MFJ183" s="141"/>
      <c r="MFK183" s="141"/>
      <c r="MFL183" s="141"/>
      <c r="MFM183" s="141"/>
      <c r="MFN183" s="141"/>
      <c r="MFO183" s="141"/>
      <c r="MFP183" s="141"/>
      <c r="MFQ183" s="141"/>
      <c r="MFR183" s="141"/>
      <c r="MFS183" s="141"/>
      <c r="MFT183" s="141"/>
      <c r="MFU183" s="141"/>
      <c r="MFV183" s="141"/>
      <c r="MFW183" s="141"/>
      <c r="MFX183" s="141"/>
      <c r="MFY183" s="141"/>
      <c r="MFZ183" s="141"/>
      <c r="MGA183" s="141"/>
      <c r="MGB183" s="141"/>
      <c r="MGC183" s="141"/>
      <c r="MGD183" s="141"/>
      <c r="MGE183" s="141"/>
      <c r="MGF183" s="141"/>
      <c r="MGG183" s="141"/>
      <c r="MGH183" s="141"/>
      <c r="MGI183" s="141"/>
      <c r="MGJ183" s="141"/>
      <c r="MGK183" s="141"/>
      <c r="MGL183" s="141"/>
      <c r="MGM183" s="141"/>
      <c r="MGN183" s="141"/>
      <c r="MGO183" s="141"/>
      <c r="MGP183" s="141"/>
      <c r="MGQ183" s="141"/>
      <c r="MGR183" s="141"/>
      <c r="MGS183" s="141"/>
      <c r="MGT183" s="141"/>
      <c r="MGU183" s="141"/>
      <c r="MGV183" s="141"/>
      <c r="MGW183" s="141"/>
      <c r="MGX183" s="141"/>
      <c r="MGY183" s="141"/>
      <c r="MGZ183" s="141"/>
      <c r="MHA183" s="141"/>
      <c r="MHB183" s="141"/>
      <c r="MHC183" s="141"/>
      <c r="MHD183" s="141"/>
      <c r="MHE183" s="141"/>
      <c r="MHF183" s="141"/>
      <c r="MHG183" s="141"/>
      <c r="MHH183" s="141"/>
      <c r="MHI183" s="141"/>
      <c r="MHJ183" s="141"/>
      <c r="MHK183" s="141"/>
      <c r="MHL183" s="141"/>
      <c r="MHM183" s="141"/>
      <c r="MHN183" s="141"/>
      <c r="MHO183" s="141"/>
      <c r="MHP183" s="141"/>
      <c r="MHQ183" s="141"/>
      <c r="MHR183" s="141"/>
      <c r="MHS183" s="141"/>
      <c r="MHT183" s="141"/>
      <c r="MHU183" s="141"/>
      <c r="MHV183" s="141"/>
      <c r="MHW183" s="141"/>
      <c r="MHX183" s="141"/>
      <c r="MHY183" s="141"/>
      <c r="MHZ183" s="141"/>
      <c r="MIA183" s="141"/>
      <c r="MIB183" s="141"/>
      <c r="MIC183" s="141"/>
      <c r="MID183" s="141"/>
      <c r="MIE183" s="141"/>
      <c r="MIF183" s="141"/>
      <c r="MIG183" s="141"/>
      <c r="MIH183" s="141"/>
      <c r="MII183" s="141"/>
      <c r="MIJ183" s="141"/>
      <c r="MIK183" s="141"/>
      <c r="MIL183" s="141"/>
      <c r="MIM183" s="141"/>
      <c r="MIN183" s="141"/>
      <c r="MIO183" s="141"/>
      <c r="MIP183" s="141"/>
      <c r="MIQ183" s="141"/>
      <c r="MIR183" s="141"/>
      <c r="MIS183" s="141"/>
      <c r="MIT183" s="141"/>
      <c r="MIU183" s="141"/>
      <c r="MIV183" s="141"/>
      <c r="MIW183" s="141"/>
      <c r="MIX183" s="141"/>
      <c r="MIY183" s="141"/>
      <c r="MIZ183" s="141"/>
      <c r="MJA183" s="141"/>
      <c r="MJB183" s="141"/>
      <c r="MJC183" s="141"/>
      <c r="MJD183" s="141"/>
      <c r="MJE183" s="141"/>
      <c r="MJF183" s="141"/>
      <c r="MJG183" s="141"/>
      <c r="MJH183" s="141"/>
      <c r="MJI183" s="141"/>
      <c r="MJJ183" s="141"/>
      <c r="MJK183" s="141"/>
      <c r="MJL183" s="141"/>
      <c r="MJM183" s="141"/>
      <c r="MJN183" s="141"/>
      <c r="MJO183" s="141"/>
      <c r="MJP183" s="141"/>
      <c r="MJQ183" s="141"/>
      <c r="MJR183" s="141"/>
      <c r="MJS183" s="141"/>
      <c r="MJT183" s="141"/>
      <c r="MJU183" s="141"/>
      <c r="MJV183" s="141"/>
      <c r="MJW183" s="141"/>
      <c r="MJX183" s="141"/>
      <c r="MJY183" s="141"/>
      <c r="MJZ183" s="141"/>
      <c r="MKA183" s="141"/>
      <c r="MKB183" s="141"/>
      <c r="MKC183" s="141"/>
      <c r="MKD183" s="141"/>
      <c r="MKE183" s="141"/>
      <c r="MKF183" s="141"/>
      <c r="MKG183" s="141"/>
      <c r="MKH183" s="141"/>
      <c r="MKI183" s="141"/>
      <c r="MKJ183" s="141"/>
      <c r="MKK183" s="141"/>
      <c r="MKL183" s="141"/>
      <c r="MKM183" s="141"/>
      <c r="MKN183" s="141"/>
      <c r="MKO183" s="141"/>
      <c r="MKP183" s="141"/>
      <c r="MKQ183" s="141"/>
      <c r="MKR183" s="141"/>
      <c r="MKS183" s="141"/>
      <c r="MKT183" s="141"/>
      <c r="MKU183" s="141"/>
      <c r="MKV183" s="141"/>
      <c r="MKW183" s="141"/>
      <c r="MKX183" s="141"/>
      <c r="MKY183" s="141"/>
      <c r="MKZ183" s="141"/>
      <c r="MLA183" s="141"/>
      <c r="MLB183" s="141"/>
      <c r="MLC183" s="141"/>
      <c r="MLD183" s="141"/>
      <c r="MLE183" s="141"/>
      <c r="MLF183" s="141"/>
      <c r="MLG183" s="141"/>
      <c r="MLH183" s="141"/>
      <c r="MLI183" s="141"/>
      <c r="MLJ183" s="141"/>
      <c r="MLK183" s="141"/>
      <c r="MLL183" s="141"/>
      <c r="MLM183" s="141"/>
      <c r="MLN183" s="141"/>
      <c r="MLO183" s="141"/>
      <c r="MLP183" s="141"/>
      <c r="MLQ183" s="141"/>
      <c r="MLR183" s="141"/>
      <c r="MLS183" s="141"/>
      <c r="MLT183" s="141"/>
      <c r="MLU183" s="141"/>
      <c r="MLV183" s="141"/>
      <c r="MLW183" s="141"/>
      <c r="MLX183" s="141"/>
      <c r="MLY183" s="141"/>
      <c r="MLZ183" s="141"/>
      <c r="MMA183" s="141"/>
      <c r="MMB183" s="141"/>
      <c r="MMC183" s="141"/>
      <c r="MMD183" s="141"/>
      <c r="MME183" s="141"/>
      <c r="MMF183" s="141"/>
      <c r="MMG183" s="141"/>
      <c r="MMH183" s="141"/>
      <c r="MMI183" s="141"/>
      <c r="MMJ183" s="141"/>
      <c r="MMK183" s="141"/>
      <c r="MML183" s="141"/>
      <c r="MMM183" s="141"/>
      <c r="MMN183" s="141"/>
      <c r="MMO183" s="141"/>
      <c r="MMP183" s="141"/>
      <c r="MMQ183" s="141"/>
      <c r="MMR183" s="141"/>
      <c r="MMS183" s="141"/>
      <c r="MMT183" s="141"/>
      <c r="MMU183" s="141"/>
      <c r="MMV183" s="141"/>
      <c r="MMW183" s="141"/>
      <c r="MMX183" s="141"/>
      <c r="MMY183" s="141"/>
      <c r="MMZ183" s="141"/>
      <c r="MNA183" s="141"/>
      <c r="MNB183" s="141"/>
      <c r="MNC183" s="141"/>
      <c r="MND183" s="141"/>
      <c r="MNE183" s="141"/>
      <c r="MNF183" s="141"/>
      <c r="MNG183" s="141"/>
      <c r="MNH183" s="141"/>
      <c r="MNI183" s="141"/>
      <c r="MNJ183" s="141"/>
      <c r="MNK183" s="141"/>
      <c r="MNL183" s="141"/>
      <c r="MNM183" s="141"/>
      <c r="MNN183" s="141"/>
      <c r="MNO183" s="141"/>
      <c r="MNP183" s="141"/>
      <c r="MNQ183" s="141"/>
      <c r="MNR183" s="141"/>
      <c r="MNS183" s="141"/>
      <c r="MNT183" s="141"/>
      <c r="MNU183" s="141"/>
      <c r="MNV183" s="141"/>
      <c r="MNW183" s="141"/>
      <c r="MNX183" s="141"/>
      <c r="MNY183" s="141"/>
      <c r="MNZ183" s="141"/>
      <c r="MOA183" s="141"/>
      <c r="MOB183" s="141"/>
      <c r="MOC183" s="141"/>
      <c r="MOD183" s="141"/>
      <c r="MOE183" s="141"/>
      <c r="MOF183" s="141"/>
      <c r="MOG183" s="141"/>
      <c r="MOH183" s="141"/>
      <c r="MOI183" s="141"/>
      <c r="MOJ183" s="141"/>
      <c r="MOK183" s="141"/>
      <c r="MOL183" s="141"/>
      <c r="MOM183" s="141"/>
      <c r="MON183" s="141"/>
      <c r="MOO183" s="141"/>
      <c r="MOP183" s="141"/>
      <c r="MOQ183" s="141"/>
      <c r="MOR183" s="141"/>
      <c r="MOS183" s="141"/>
      <c r="MOT183" s="141"/>
      <c r="MOU183" s="141"/>
      <c r="MOV183" s="141"/>
      <c r="MOW183" s="141"/>
      <c r="MOX183" s="141"/>
      <c r="MOY183" s="141"/>
      <c r="MOZ183" s="141"/>
      <c r="MPA183" s="141"/>
      <c r="MPB183" s="141"/>
      <c r="MPC183" s="141"/>
      <c r="MPD183" s="141"/>
      <c r="MPE183" s="141"/>
      <c r="MPF183" s="141"/>
      <c r="MPG183" s="141"/>
      <c r="MPH183" s="141"/>
      <c r="MPI183" s="141"/>
      <c r="MPJ183" s="141"/>
      <c r="MPK183" s="141"/>
      <c r="MPL183" s="141"/>
      <c r="MPM183" s="141"/>
      <c r="MPN183" s="141"/>
      <c r="MPO183" s="141"/>
      <c r="MPP183" s="141"/>
      <c r="MPQ183" s="141"/>
      <c r="MPR183" s="141"/>
      <c r="MPS183" s="141"/>
      <c r="MPT183" s="141"/>
      <c r="MPU183" s="141"/>
      <c r="MPV183" s="141"/>
      <c r="MPW183" s="141"/>
      <c r="MPX183" s="141"/>
      <c r="MPY183" s="141"/>
      <c r="MPZ183" s="141"/>
      <c r="MQA183" s="141"/>
      <c r="MQB183" s="141"/>
      <c r="MQC183" s="141"/>
      <c r="MQD183" s="141"/>
      <c r="MQE183" s="141"/>
      <c r="MQF183" s="141"/>
      <c r="MQG183" s="141"/>
      <c r="MQH183" s="141"/>
      <c r="MQI183" s="141"/>
      <c r="MQJ183" s="141"/>
      <c r="MQK183" s="141"/>
      <c r="MQL183" s="141"/>
      <c r="MQM183" s="141"/>
      <c r="MQN183" s="141"/>
      <c r="MQO183" s="141"/>
      <c r="MQP183" s="141"/>
      <c r="MQQ183" s="141"/>
      <c r="MQR183" s="141"/>
      <c r="MQS183" s="141"/>
      <c r="MQT183" s="141"/>
      <c r="MQU183" s="141"/>
      <c r="MQV183" s="141"/>
      <c r="MQW183" s="141"/>
      <c r="MQX183" s="141"/>
      <c r="MQY183" s="141"/>
      <c r="MQZ183" s="141"/>
      <c r="MRA183" s="141"/>
      <c r="MRB183" s="141"/>
      <c r="MRC183" s="141"/>
      <c r="MRD183" s="141"/>
      <c r="MRE183" s="141"/>
      <c r="MRF183" s="141"/>
      <c r="MRG183" s="141"/>
      <c r="MRH183" s="141"/>
      <c r="MRI183" s="141"/>
      <c r="MRJ183" s="141"/>
      <c r="MRK183" s="141"/>
      <c r="MRL183" s="141"/>
      <c r="MRM183" s="141"/>
      <c r="MRN183" s="141"/>
      <c r="MRO183" s="141"/>
      <c r="MRP183" s="141"/>
      <c r="MRQ183" s="141"/>
      <c r="MRR183" s="141"/>
      <c r="MRS183" s="141"/>
      <c r="MRT183" s="141"/>
      <c r="MRU183" s="141"/>
      <c r="MRV183" s="141"/>
      <c r="MRW183" s="141"/>
      <c r="MRX183" s="141"/>
      <c r="MRY183" s="141"/>
      <c r="MRZ183" s="141"/>
      <c r="MSA183" s="141"/>
      <c r="MSB183" s="141"/>
      <c r="MSC183" s="141"/>
      <c r="MSD183" s="141"/>
      <c r="MSE183" s="141"/>
      <c r="MSF183" s="141"/>
      <c r="MSG183" s="141"/>
      <c r="MSH183" s="141"/>
      <c r="MSI183" s="141"/>
      <c r="MSJ183" s="141"/>
      <c r="MSK183" s="141"/>
      <c r="MSL183" s="141"/>
      <c r="MSM183" s="141"/>
      <c r="MSN183" s="141"/>
      <c r="MSO183" s="141"/>
      <c r="MSP183" s="141"/>
      <c r="MSQ183" s="141"/>
      <c r="MSR183" s="141"/>
      <c r="MSS183" s="141"/>
      <c r="MST183" s="141"/>
      <c r="MSU183" s="141"/>
      <c r="MSV183" s="141"/>
      <c r="MSW183" s="141"/>
      <c r="MSX183" s="141"/>
      <c r="MSY183" s="141"/>
      <c r="MSZ183" s="141"/>
      <c r="MTA183" s="141"/>
      <c r="MTB183" s="141"/>
      <c r="MTC183" s="141"/>
      <c r="MTD183" s="141"/>
      <c r="MTE183" s="141"/>
      <c r="MTF183" s="141"/>
      <c r="MTG183" s="141"/>
      <c r="MTH183" s="141"/>
      <c r="MTI183" s="141"/>
      <c r="MTJ183" s="141"/>
      <c r="MTK183" s="141"/>
      <c r="MTL183" s="141"/>
      <c r="MTM183" s="141"/>
      <c r="MTN183" s="141"/>
      <c r="MTO183" s="141"/>
      <c r="MTP183" s="141"/>
      <c r="MTQ183" s="141"/>
      <c r="MTR183" s="141"/>
      <c r="MTS183" s="141"/>
      <c r="MTT183" s="141"/>
      <c r="MTU183" s="141"/>
      <c r="MTV183" s="141"/>
      <c r="MTW183" s="141"/>
      <c r="MTX183" s="141"/>
      <c r="MTY183" s="141"/>
      <c r="MTZ183" s="141"/>
      <c r="MUA183" s="141"/>
      <c r="MUB183" s="141"/>
      <c r="MUC183" s="141"/>
      <c r="MUD183" s="141"/>
      <c r="MUE183" s="141"/>
      <c r="MUF183" s="141"/>
      <c r="MUG183" s="141"/>
      <c r="MUH183" s="141"/>
      <c r="MUI183" s="141"/>
      <c r="MUJ183" s="141"/>
      <c r="MUK183" s="141"/>
      <c r="MUL183" s="141"/>
      <c r="MUM183" s="141"/>
      <c r="MUN183" s="141"/>
      <c r="MUO183" s="141"/>
      <c r="MUP183" s="141"/>
      <c r="MUQ183" s="141"/>
      <c r="MUR183" s="141"/>
      <c r="MUS183" s="141"/>
      <c r="MUT183" s="141"/>
      <c r="MUU183" s="141"/>
      <c r="MUV183" s="141"/>
      <c r="MUW183" s="141"/>
      <c r="MUX183" s="141"/>
      <c r="MUY183" s="141"/>
      <c r="MUZ183" s="141"/>
      <c r="MVA183" s="141"/>
      <c r="MVB183" s="141"/>
      <c r="MVC183" s="141"/>
      <c r="MVD183" s="141"/>
      <c r="MVE183" s="141"/>
      <c r="MVF183" s="141"/>
      <c r="MVG183" s="141"/>
      <c r="MVH183" s="141"/>
      <c r="MVI183" s="141"/>
      <c r="MVJ183" s="141"/>
      <c r="MVK183" s="141"/>
      <c r="MVL183" s="141"/>
      <c r="MVM183" s="141"/>
      <c r="MVN183" s="141"/>
      <c r="MVO183" s="141"/>
      <c r="MVP183" s="141"/>
      <c r="MVQ183" s="141"/>
      <c r="MVR183" s="141"/>
      <c r="MVS183" s="141"/>
      <c r="MVT183" s="141"/>
      <c r="MVU183" s="141"/>
      <c r="MVV183" s="141"/>
      <c r="MVW183" s="141"/>
      <c r="MVX183" s="141"/>
      <c r="MVY183" s="141"/>
      <c r="MVZ183" s="141"/>
      <c r="MWA183" s="141"/>
      <c r="MWB183" s="141"/>
      <c r="MWC183" s="141"/>
      <c r="MWD183" s="141"/>
      <c r="MWE183" s="141"/>
      <c r="MWF183" s="141"/>
      <c r="MWG183" s="141"/>
      <c r="MWH183" s="141"/>
      <c r="MWI183" s="141"/>
      <c r="MWJ183" s="141"/>
      <c r="MWK183" s="141"/>
      <c r="MWL183" s="141"/>
      <c r="MWM183" s="141"/>
      <c r="MWN183" s="141"/>
      <c r="MWO183" s="141"/>
      <c r="MWP183" s="141"/>
      <c r="MWQ183" s="141"/>
      <c r="MWR183" s="141"/>
      <c r="MWS183" s="141"/>
      <c r="MWT183" s="141"/>
      <c r="MWU183" s="141"/>
      <c r="MWV183" s="141"/>
      <c r="MWW183" s="141"/>
      <c r="MWX183" s="141"/>
      <c r="MWY183" s="141"/>
      <c r="MWZ183" s="141"/>
      <c r="MXA183" s="141"/>
      <c r="MXB183" s="141"/>
      <c r="MXC183" s="141"/>
      <c r="MXD183" s="141"/>
      <c r="MXE183" s="141"/>
      <c r="MXF183" s="141"/>
      <c r="MXG183" s="141"/>
      <c r="MXH183" s="141"/>
      <c r="MXI183" s="141"/>
      <c r="MXJ183" s="141"/>
      <c r="MXK183" s="141"/>
      <c r="MXL183" s="141"/>
      <c r="MXM183" s="141"/>
      <c r="MXN183" s="141"/>
      <c r="MXO183" s="141"/>
      <c r="MXP183" s="141"/>
      <c r="MXQ183" s="141"/>
      <c r="MXR183" s="141"/>
      <c r="MXS183" s="141"/>
      <c r="MXT183" s="141"/>
      <c r="MXU183" s="141"/>
      <c r="MXV183" s="141"/>
      <c r="MXW183" s="141"/>
      <c r="MXX183" s="141"/>
      <c r="MXY183" s="141"/>
      <c r="MXZ183" s="141"/>
      <c r="MYA183" s="141"/>
      <c r="MYB183" s="141"/>
      <c r="MYC183" s="141"/>
      <c r="MYD183" s="141"/>
      <c r="MYE183" s="141"/>
      <c r="MYF183" s="141"/>
      <c r="MYG183" s="141"/>
      <c r="MYH183" s="141"/>
      <c r="MYI183" s="141"/>
      <c r="MYJ183" s="141"/>
      <c r="MYK183" s="141"/>
      <c r="MYL183" s="141"/>
      <c r="MYM183" s="141"/>
      <c r="MYN183" s="141"/>
      <c r="MYO183" s="141"/>
      <c r="MYP183" s="141"/>
      <c r="MYQ183" s="141"/>
      <c r="MYR183" s="141"/>
      <c r="MYS183" s="141"/>
      <c r="MYT183" s="141"/>
      <c r="MYU183" s="141"/>
      <c r="MYV183" s="141"/>
      <c r="MYW183" s="141"/>
      <c r="MYX183" s="141"/>
      <c r="MYY183" s="141"/>
      <c r="MYZ183" s="141"/>
      <c r="MZA183" s="141"/>
      <c r="MZB183" s="141"/>
      <c r="MZC183" s="141"/>
      <c r="MZD183" s="141"/>
      <c r="MZE183" s="141"/>
      <c r="MZF183" s="141"/>
      <c r="MZG183" s="141"/>
      <c r="MZH183" s="141"/>
      <c r="MZI183" s="141"/>
      <c r="MZJ183" s="141"/>
      <c r="MZK183" s="141"/>
      <c r="MZL183" s="141"/>
      <c r="MZM183" s="141"/>
      <c r="MZN183" s="141"/>
      <c r="MZO183" s="141"/>
      <c r="MZP183" s="141"/>
      <c r="MZQ183" s="141"/>
      <c r="MZR183" s="141"/>
      <c r="MZS183" s="141"/>
      <c r="MZT183" s="141"/>
      <c r="MZU183" s="141"/>
      <c r="MZV183" s="141"/>
      <c r="MZW183" s="141"/>
      <c r="MZX183" s="141"/>
      <c r="MZY183" s="141"/>
      <c r="MZZ183" s="141"/>
      <c r="NAA183" s="141"/>
      <c r="NAB183" s="141"/>
      <c r="NAC183" s="141"/>
      <c r="NAD183" s="141"/>
      <c r="NAE183" s="141"/>
      <c r="NAF183" s="141"/>
      <c r="NAG183" s="141"/>
      <c r="NAH183" s="141"/>
      <c r="NAI183" s="141"/>
      <c r="NAJ183" s="141"/>
      <c r="NAK183" s="141"/>
      <c r="NAL183" s="141"/>
      <c r="NAM183" s="141"/>
      <c r="NAN183" s="141"/>
      <c r="NAO183" s="141"/>
      <c r="NAP183" s="141"/>
      <c r="NAQ183" s="141"/>
      <c r="NAR183" s="141"/>
      <c r="NAS183" s="141"/>
      <c r="NAT183" s="141"/>
      <c r="NAU183" s="141"/>
      <c r="NAV183" s="141"/>
      <c r="NAW183" s="141"/>
      <c r="NAX183" s="141"/>
      <c r="NAY183" s="141"/>
      <c r="NAZ183" s="141"/>
      <c r="NBA183" s="141"/>
      <c r="NBB183" s="141"/>
      <c r="NBC183" s="141"/>
      <c r="NBD183" s="141"/>
      <c r="NBE183" s="141"/>
      <c r="NBF183" s="141"/>
      <c r="NBG183" s="141"/>
      <c r="NBH183" s="141"/>
      <c r="NBI183" s="141"/>
      <c r="NBJ183" s="141"/>
      <c r="NBK183" s="141"/>
      <c r="NBL183" s="141"/>
      <c r="NBM183" s="141"/>
      <c r="NBN183" s="141"/>
      <c r="NBO183" s="141"/>
      <c r="NBP183" s="141"/>
      <c r="NBQ183" s="141"/>
      <c r="NBR183" s="141"/>
      <c r="NBS183" s="141"/>
      <c r="NBT183" s="141"/>
      <c r="NBU183" s="141"/>
      <c r="NBV183" s="141"/>
      <c r="NBW183" s="141"/>
      <c r="NBX183" s="141"/>
      <c r="NBY183" s="141"/>
      <c r="NBZ183" s="141"/>
      <c r="NCA183" s="141"/>
      <c r="NCB183" s="141"/>
      <c r="NCC183" s="141"/>
      <c r="NCD183" s="141"/>
      <c r="NCE183" s="141"/>
      <c r="NCF183" s="141"/>
      <c r="NCG183" s="141"/>
      <c r="NCH183" s="141"/>
      <c r="NCI183" s="141"/>
      <c r="NCJ183" s="141"/>
      <c r="NCK183" s="141"/>
      <c r="NCL183" s="141"/>
      <c r="NCM183" s="141"/>
      <c r="NCN183" s="141"/>
      <c r="NCO183" s="141"/>
      <c r="NCP183" s="141"/>
      <c r="NCQ183" s="141"/>
      <c r="NCR183" s="141"/>
      <c r="NCS183" s="141"/>
      <c r="NCT183" s="141"/>
      <c r="NCU183" s="141"/>
      <c r="NCV183" s="141"/>
      <c r="NCW183" s="141"/>
      <c r="NCX183" s="141"/>
      <c r="NCY183" s="141"/>
      <c r="NCZ183" s="141"/>
      <c r="NDA183" s="141"/>
      <c r="NDB183" s="141"/>
      <c r="NDC183" s="141"/>
      <c r="NDD183" s="141"/>
      <c r="NDE183" s="141"/>
      <c r="NDF183" s="141"/>
      <c r="NDG183" s="141"/>
      <c r="NDH183" s="141"/>
      <c r="NDI183" s="141"/>
      <c r="NDJ183" s="141"/>
      <c r="NDK183" s="141"/>
      <c r="NDL183" s="141"/>
      <c r="NDM183" s="141"/>
      <c r="NDN183" s="141"/>
      <c r="NDO183" s="141"/>
      <c r="NDP183" s="141"/>
      <c r="NDQ183" s="141"/>
      <c r="NDR183" s="141"/>
      <c r="NDS183" s="141"/>
      <c r="NDT183" s="141"/>
      <c r="NDU183" s="141"/>
      <c r="NDV183" s="141"/>
      <c r="NDW183" s="141"/>
      <c r="NDX183" s="141"/>
      <c r="NDY183" s="141"/>
      <c r="NDZ183" s="141"/>
      <c r="NEA183" s="141"/>
      <c r="NEB183" s="141"/>
      <c r="NEC183" s="141"/>
      <c r="NED183" s="141"/>
      <c r="NEE183" s="141"/>
      <c r="NEF183" s="141"/>
      <c r="NEG183" s="141"/>
      <c r="NEH183" s="141"/>
      <c r="NEI183" s="141"/>
      <c r="NEJ183" s="141"/>
      <c r="NEK183" s="141"/>
      <c r="NEL183" s="141"/>
      <c r="NEM183" s="141"/>
      <c r="NEN183" s="141"/>
      <c r="NEO183" s="141"/>
      <c r="NEP183" s="141"/>
      <c r="NEQ183" s="141"/>
      <c r="NER183" s="141"/>
      <c r="NES183" s="141"/>
      <c r="NET183" s="141"/>
      <c r="NEU183" s="141"/>
      <c r="NEV183" s="141"/>
      <c r="NEW183" s="141"/>
      <c r="NEX183" s="141"/>
      <c r="NEY183" s="141"/>
      <c r="NEZ183" s="141"/>
      <c r="NFA183" s="141"/>
      <c r="NFB183" s="141"/>
      <c r="NFC183" s="141"/>
      <c r="NFD183" s="141"/>
      <c r="NFE183" s="141"/>
      <c r="NFF183" s="141"/>
      <c r="NFG183" s="141"/>
      <c r="NFH183" s="141"/>
      <c r="NFI183" s="141"/>
      <c r="NFJ183" s="141"/>
      <c r="NFK183" s="141"/>
      <c r="NFL183" s="141"/>
      <c r="NFM183" s="141"/>
      <c r="NFN183" s="141"/>
      <c r="NFO183" s="141"/>
      <c r="NFP183" s="141"/>
      <c r="NFQ183" s="141"/>
      <c r="NFR183" s="141"/>
      <c r="NFS183" s="141"/>
      <c r="NFT183" s="141"/>
      <c r="NFU183" s="141"/>
      <c r="NFV183" s="141"/>
      <c r="NFW183" s="141"/>
      <c r="NFX183" s="141"/>
      <c r="NFY183" s="141"/>
      <c r="NFZ183" s="141"/>
      <c r="NGA183" s="141"/>
      <c r="NGB183" s="141"/>
      <c r="NGC183" s="141"/>
      <c r="NGD183" s="141"/>
      <c r="NGE183" s="141"/>
      <c r="NGF183" s="141"/>
      <c r="NGG183" s="141"/>
      <c r="NGH183" s="141"/>
      <c r="NGI183" s="141"/>
      <c r="NGJ183" s="141"/>
      <c r="NGK183" s="141"/>
      <c r="NGL183" s="141"/>
      <c r="NGM183" s="141"/>
      <c r="NGN183" s="141"/>
      <c r="NGO183" s="141"/>
      <c r="NGP183" s="141"/>
      <c r="NGQ183" s="141"/>
      <c r="NGR183" s="141"/>
      <c r="NGS183" s="141"/>
      <c r="NGT183" s="141"/>
      <c r="NGU183" s="141"/>
      <c r="NGV183" s="141"/>
      <c r="NGW183" s="141"/>
      <c r="NGX183" s="141"/>
      <c r="NGY183" s="141"/>
      <c r="NGZ183" s="141"/>
      <c r="NHA183" s="141"/>
      <c r="NHB183" s="141"/>
      <c r="NHC183" s="141"/>
      <c r="NHD183" s="141"/>
      <c r="NHE183" s="141"/>
      <c r="NHF183" s="141"/>
      <c r="NHG183" s="141"/>
      <c r="NHH183" s="141"/>
      <c r="NHI183" s="141"/>
      <c r="NHJ183" s="141"/>
      <c r="NHK183" s="141"/>
      <c r="NHL183" s="141"/>
      <c r="NHM183" s="141"/>
      <c r="NHN183" s="141"/>
      <c r="NHO183" s="141"/>
      <c r="NHP183" s="141"/>
      <c r="NHQ183" s="141"/>
      <c r="NHR183" s="141"/>
      <c r="NHS183" s="141"/>
      <c r="NHT183" s="141"/>
      <c r="NHU183" s="141"/>
      <c r="NHV183" s="141"/>
      <c r="NHW183" s="141"/>
      <c r="NHX183" s="141"/>
      <c r="NHY183" s="141"/>
      <c r="NHZ183" s="141"/>
      <c r="NIA183" s="141"/>
      <c r="NIB183" s="141"/>
      <c r="NIC183" s="141"/>
      <c r="NID183" s="141"/>
      <c r="NIE183" s="141"/>
      <c r="NIF183" s="141"/>
      <c r="NIG183" s="141"/>
      <c r="NIH183" s="141"/>
      <c r="NII183" s="141"/>
      <c r="NIJ183" s="141"/>
      <c r="NIK183" s="141"/>
      <c r="NIL183" s="141"/>
      <c r="NIM183" s="141"/>
      <c r="NIN183" s="141"/>
      <c r="NIO183" s="141"/>
      <c r="NIP183" s="141"/>
      <c r="NIQ183" s="141"/>
      <c r="NIR183" s="141"/>
      <c r="NIS183" s="141"/>
      <c r="NIT183" s="141"/>
      <c r="NIU183" s="141"/>
      <c r="NIV183" s="141"/>
      <c r="NIW183" s="141"/>
      <c r="NIX183" s="141"/>
      <c r="NIY183" s="141"/>
      <c r="NIZ183" s="141"/>
      <c r="NJA183" s="141"/>
      <c r="NJB183" s="141"/>
      <c r="NJC183" s="141"/>
      <c r="NJD183" s="141"/>
      <c r="NJE183" s="141"/>
      <c r="NJF183" s="141"/>
      <c r="NJG183" s="141"/>
      <c r="NJH183" s="141"/>
      <c r="NJI183" s="141"/>
      <c r="NJJ183" s="141"/>
      <c r="NJK183" s="141"/>
      <c r="NJL183" s="141"/>
      <c r="NJM183" s="141"/>
      <c r="NJN183" s="141"/>
      <c r="NJO183" s="141"/>
      <c r="NJP183" s="141"/>
      <c r="NJQ183" s="141"/>
      <c r="NJR183" s="141"/>
      <c r="NJS183" s="141"/>
      <c r="NJT183" s="141"/>
      <c r="NJU183" s="141"/>
      <c r="NJV183" s="141"/>
      <c r="NJW183" s="141"/>
      <c r="NJX183" s="141"/>
      <c r="NJY183" s="141"/>
      <c r="NJZ183" s="141"/>
      <c r="NKA183" s="141"/>
      <c r="NKB183" s="141"/>
      <c r="NKC183" s="141"/>
      <c r="NKD183" s="141"/>
      <c r="NKE183" s="141"/>
      <c r="NKF183" s="141"/>
      <c r="NKG183" s="141"/>
      <c r="NKH183" s="141"/>
      <c r="NKI183" s="141"/>
      <c r="NKJ183" s="141"/>
      <c r="NKK183" s="141"/>
      <c r="NKL183" s="141"/>
      <c r="NKM183" s="141"/>
      <c r="NKN183" s="141"/>
      <c r="NKO183" s="141"/>
      <c r="NKP183" s="141"/>
      <c r="NKQ183" s="141"/>
      <c r="NKR183" s="141"/>
      <c r="NKS183" s="141"/>
      <c r="NKT183" s="141"/>
      <c r="NKU183" s="141"/>
      <c r="NKV183" s="141"/>
      <c r="NKW183" s="141"/>
      <c r="NKX183" s="141"/>
      <c r="NKY183" s="141"/>
      <c r="NKZ183" s="141"/>
      <c r="NLA183" s="141"/>
      <c r="NLB183" s="141"/>
      <c r="NLC183" s="141"/>
      <c r="NLD183" s="141"/>
      <c r="NLE183" s="141"/>
      <c r="NLF183" s="141"/>
      <c r="NLG183" s="141"/>
      <c r="NLH183" s="141"/>
      <c r="NLI183" s="141"/>
      <c r="NLJ183" s="141"/>
      <c r="NLK183" s="141"/>
      <c r="NLL183" s="141"/>
      <c r="NLM183" s="141"/>
      <c r="NLN183" s="141"/>
      <c r="NLO183" s="141"/>
      <c r="NLP183" s="141"/>
      <c r="NLQ183" s="141"/>
      <c r="NLR183" s="141"/>
      <c r="NLS183" s="141"/>
      <c r="NLT183" s="141"/>
      <c r="NLU183" s="141"/>
      <c r="NLV183" s="141"/>
      <c r="NLW183" s="141"/>
      <c r="NLX183" s="141"/>
      <c r="NLY183" s="141"/>
      <c r="NLZ183" s="141"/>
      <c r="NMA183" s="141"/>
      <c r="NMB183" s="141"/>
      <c r="NMC183" s="141"/>
      <c r="NMD183" s="141"/>
      <c r="NME183" s="141"/>
      <c r="NMF183" s="141"/>
      <c r="NMG183" s="141"/>
      <c r="NMH183" s="141"/>
      <c r="NMI183" s="141"/>
      <c r="NMJ183" s="141"/>
      <c r="NMK183" s="141"/>
      <c r="NML183" s="141"/>
      <c r="NMM183" s="141"/>
      <c r="NMN183" s="141"/>
      <c r="NMO183" s="141"/>
      <c r="NMP183" s="141"/>
      <c r="NMQ183" s="141"/>
      <c r="NMR183" s="141"/>
      <c r="NMS183" s="141"/>
      <c r="NMT183" s="141"/>
      <c r="NMU183" s="141"/>
      <c r="NMV183" s="141"/>
      <c r="NMW183" s="141"/>
      <c r="NMX183" s="141"/>
      <c r="NMY183" s="141"/>
      <c r="NMZ183" s="141"/>
      <c r="NNA183" s="141"/>
      <c r="NNB183" s="141"/>
      <c r="NNC183" s="141"/>
      <c r="NND183" s="141"/>
      <c r="NNE183" s="141"/>
      <c r="NNF183" s="141"/>
      <c r="NNG183" s="141"/>
      <c r="NNH183" s="141"/>
      <c r="NNI183" s="141"/>
      <c r="NNJ183" s="141"/>
      <c r="NNK183" s="141"/>
      <c r="NNL183" s="141"/>
      <c r="NNM183" s="141"/>
      <c r="NNN183" s="141"/>
      <c r="NNO183" s="141"/>
      <c r="NNP183" s="141"/>
      <c r="NNQ183" s="141"/>
      <c r="NNR183" s="141"/>
      <c r="NNS183" s="141"/>
      <c r="NNT183" s="141"/>
      <c r="NNU183" s="141"/>
      <c r="NNV183" s="141"/>
      <c r="NNW183" s="141"/>
      <c r="NNX183" s="141"/>
      <c r="NNY183" s="141"/>
      <c r="NNZ183" s="141"/>
      <c r="NOA183" s="141"/>
      <c r="NOB183" s="141"/>
      <c r="NOC183" s="141"/>
      <c r="NOD183" s="141"/>
      <c r="NOE183" s="141"/>
      <c r="NOF183" s="141"/>
      <c r="NOG183" s="141"/>
      <c r="NOH183" s="141"/>
      <c r="NOI183" s="141"/>
      <c r="NOJ183" s="141"/>
      <c r="NOK183" s="141"/>
      <c r="NOL183" s="141"/>
      <c r="NOM183" s="141"/>
      <c r="NON183" s="141"/>
      <c r="NOO183" s="141"/>
      <c r="NOP183" s="141"/>
      <c r="NOQ183" s="141"/>
      <c r="NOR183" s="141"/>
      <c r="NOS183" s="141"/>
      <c r="NOT183" s="141"/>
      <c r="NOU183" s="141"/>
      <c r="NOV183" s="141"/>
      <c r="NOW183" s="141"/>
      <c r="NOX183" s="141"/>
      <c r="NOY183" s="141"/>
      <c r="NOZ183" s="141"/>
      <c r="NPA183" s="141"/>
      <c r="NPB183" s="141"/>
      <c r="NPC183" s="141"/>
      <c r="NPD183" s="141"/>
      <c r="NPE183" s="141"/>
      <c r="NPF183" s="141"/>
      <c r="NPG183" s="141"/>
      <c r="NPH183" s="141"/>
      <c r="NPI183" s="141"/>
      <c r="NPJ183" s="141"/>
      <c r="NPK183" s="141"/>
      <c r="NPL183" s="141"/>
      <c r="NPM183" s="141"/>
      <c r="NPN183" s="141"/>
      <c r="NPO183" s="141"/>
      <c r="NPP183" s="141"/>
      <c r="NPQ183" s="141"/>
      <c r="NPR183" s="141"/>
      <c r="NPS183" s="141"/>
      <c r="NPT183" s="141"/>
      <c r="NPU183" s="141"/>
      <c r="NPV183" s="141"/>
      <c r="NPW183" s="141"/>
      <c r="NPX183" s="141"/>
      <c r="NPY183" s="141"/>
      <c r="NPZ183" s="141"/>
      <c r="NQA183" s="141"/>
      <c r="NQB183" s="141"/>
      <c r="NQC183" s="141"/>
      <c r="NQD183" s="141"/>
      <c r="NQE183" s="141"/>
      <c r="NQF183" s="141"/>
      <c r="NQG183" s="141"/>
      <c r="NQH183" s="141"/>
      <c r="NQI183" s="141"/>
      <c r="NQJ183" s="141"/>
      <c r="NQK183" s="141"/>
      <c r="NQL183" s="141"/>
      <c r="NQM183" s="141"/>
      <c r="NQN183" s="141"/>
      <c r="NQO183" s="141"/>
      <c r="NQP183" s="141"/>
      <c r="NQQ183" s="141"/>
      <c r="NQR183" s="141"/>
      <c r="NQS183" s="141"/>
      <c r="NQT183" s="141"/>
      <c r="NQU183" s="141"/>
      <c r="NQV183" s="141"/>
      <c r="NQW183" s="141"/>
      <c r="NQX183" s="141"/>
      <c r="NQY183" s="141"/>
      <c r="NQZ183" s="141"/>
      <c r="NRA183" s="141"/>
      <c r="NRB183" s="141"/>
      <c r="NRC183" s="141"/>
      <c r="NRD183" s="141"/>
      <c r="NRE183" s="141"/>
      <c r="NRF183" s="141"/>
      <c r="NRG183" s="141"/>
      <c r="NRH183" s="141"/>
      <c r="NRI183" s="141"/>
      <c r="NRJ183" s="141"/>
      <c r="NRK183" s="141"/>
      <c r="NRL183" s="141"/>
      <c r="NRM183" s="141"/>
      <c r="NRN183" s="141"/>
      <c r="NRO183" s="141"/>
      <c r="NRP183" s="141"/>
      <c r="NRQ183" s="141"/>
      <c r="NRR183" s="141"/>
      <c r="NRS183" s="141"/>
      <c r="NRT183" s="141"/>
      <c r="NRU183" s="141"/>
      <c r="NRV183" s="141"/>
      <c r="NRW183" s="141"/>
      <c r="NRX183" s="141"/>
      <c r="NRY183" s="141"/>
      <c r="NRZ183" s="141"/>
      <c r="NSA183" s="141"/>
      <c r="NSB183" s="141"/>
      <c r="NSC183" s="141"/>
      <c r="NSD183" s="141"/>
      <c r="NSE183" s="141"/>
      <c r="NSF183" s="141"/>
      <c r="NSG183" s="141"/>
      <c r="NSH183" s="141"/>
      <c r="NSI183" s="141"/>
      <c r="NSJ183" s="141"/>
      <c r="NSK183" s="141"/>
      <c r="NSL183" s="141"/>
      <c r="NSM183" s="141"/>
      <c r="NSN183" s="141"/>
      <c r="NSO183" s="141"/>
      <c r="NSP183" s="141"/>
      <c r="NSQ183" s="141"/>
      <c r="NSR183" s="141"/>
      <c r="NSS183" s="141"/>
      <c r="NST183" s="141"/>
      <c r="NSU183" s="141"/>
      <c r="NSV183" s="141"/>
      <c r="NSW183" s="141"/>
      <c r="NSX183" s="141"/>
      <c r="NSY183" s="141"/>
      <c r="NSZ183" s="141"/>
      <c r="NTA183" s="141"/>
      <c r="NTB183" s="141"/>
      <c r="NTC183" s="141"/>
      <c r="NTD183" s="141"/>
      <c r="NTE183" s="141"/>
      <c r="NTF183" s="141"/>
      <c r="NTG183" s="141"/>
      <c r="NTH183" s="141"/>
      <c r="NTI183" s="141"/>
      <c r="NTJ183" s="141"/>
      <c r="NTK183" s="141"/>
      <c r="NTL183" s="141"/>
      <c r="NTM183" s="141"/>
      <c r="NTN183" s="141"/>
      <c r="NTO183" s="141"/>
      <c r="NTP183" s="141"/>
      <c r="NTQ183" s="141"/>
      <c r="NTR183" s="141"/>
      <c r="NTS183" s="141"/>
      <c r="NTT183" s="141"/>
      <c r="NTU183" s="141"/>
      <c r="NTV183" s="141"/>
      <c r="NTW183" s="141"/>
      <c r="NTX183" s="141"/>
      <c r="NTY183" s="141"/>
      <c r="NTZ183" s="141"/>
      <c r="NUA183" s="141"/>
      <c r="NUB183" s="141"/>
      <c r="NUC183" s="141"/>
      <c r="NUD183" s="141"/>
      <c r="NUE183" s="141"/>
      <c r="NUF183" s="141"/>
      <c r="NUG183" s="141"/>
      <c r="NUH183" s="141"/>
      <c r="NUI183" s="141"/>
      <c r="NUJ183" s="141"/>
      <c r="NUK183" s="141"/>
      <c r="NUL183" s="141"/>
      <c r="NUM183" s="141"/>
      <c r="NUN183" s="141"/>
      <c r="NUO183" s="141"/>
      <c r="NUP183" s="141"/>
      <c r="NUQ183" s="141"/>
      <c r="NUR183" s="141"/>
      <c r="NUS183" s="141"/>
      <c r="NUT183" s="141"/>
      <c r="NUU183" s="141"/>
      <c r="NUV183" s="141"/>
      <c r="NUW183" s="141"/>
      <c r="NUX183" s="141"/>
      <c r="NUY183" s="141"/>
      <c r="NUZ183" s="141"/>
      <c r="NVA183" s="141"/>
      <c r="NVB183" s="141"/>
      <c r="NVC183" s="141"/>
      <c r="NVD183" s="141"/>
      <c r="NVE183" s="141"/>
      <c r="NVF183" s="141"/>
      <c r="NVG183" s="141"/>
      <c r="NVH183" s="141"/>
      <c r="NVI183" s="141"/>
      <c r="NVJ183" s="141"/>
      <c r="NVK183" s="141"/>
      <c r="NVL183" s="141"/>
      <c r="NVM183" s="141"/>
      <c r="NVN183" s="141"/>
      <c r="NVO183" s="141"/>
      <c r="NVP183" s="141"/>
      <c r="NVQ183" s="141"/>
      <c r="NVR183" s="141"/>
      <c r="NVS183" s="141"/>
      <c r="NVT183" s="141"/>
      <c r="NVU183" s="141"/>
      <c r="NVV183" s="141"/>
      <c r="NVW183" s="141"/>
      <c r="NVX183" s="141"/>
      <c r="NVY183" s="141"/>
      <c r="NVZ183" s="141"/>
      <c r="NWA183" s="141"/>
      <c r="NWB183" s="141"/>
      <c r="NWC183" s="141"/>
      <c r="NWD183" s="141"/>
      <c r="NWE183" s="141"/>
      <c r="NWF183" s="141"/>
      <c r="NWG183" s="141"/>
      <c r="NWH183" s="141"/>
      <c r="NWI183" s="141"/>
      <c r="NWJ183" s="141"/>
      <c r="NWK183" s="141"/>
      <c r="NWL183" s="141"/>
      <c r="NWM183" s="141"/>
      <c r="NWN183" s="141"/>
      <c r="NWO183" s="141"/>
      <c r="NWP183" s="141"/>
      <c r="NWQ183" s="141"/>
      <c r="NWR183" s="141"/>
      <c r="NWS183" s="141"/>
      <c r="NWT183" s="141"/>
      <c r="NWU183" s="141"/>
      <c r="NWV183" s="141"/>
      <c r="NWW183" s="141"/>
      <c r="NWX183" s="141"/>
      <c r="NWY183" s="141"/>
      <c r="NWZ183" s="141"/>
      <c r="NXA183" s="141"/>
      <c r="NXB183" s="141"/>
      <c r="NXC183" s="141"/>
      <c r="NXD183" s="141"/>
      <c r="NXE183" s="141"/>
      <c r="NXF183" s="141"/>
      <c r="NXG183" s="141"/>
      <c r="NXH183" s="141"/>
      <c r="NXI183" s="141"/>
      <c r="NXJ183" s="141"/>
      <c r="NXK183" s="141"/>
      <c r="NXL183" s="141"/>
      <c r="NXM183" s="141"/>
      <c r="NXN183" s="141"/>
      <c r="NXO183" s="141"/>
      <c r="NXP183" s="141"/>
      <c r="NXQ183" s="141"/>
      <c r="NXR183" s="141"/>
      <c r="NXS183" s="141"/>
      <c r="NXT183" s="141"/>
      <c r="NXU183" s="141"/>
      <c r="NXV183" s="141"/>
      <c r="NXW183" s="141"/>
      <c r="NXX183" s="141"/>
      <c r="NXY183" s="141"/>
      <c r="NXZ183" s="141"/>
      <c r="NYA183" s="141"/>
      <c r="NYB183" s="141"/>
      <c r="NYC183" s="141"/>
      <c r="NYD183" s="141"/>
      <c r="NYE183" s="141"/>
      <c r="NYF183" s="141"/>
      <c r="NYG183" s="141"/>
      <c r="NYH183" s="141"/>
      <c r="NYI183" s="141"/>
      <c r="NYJ183" s="141"/>
      <c r="NYK183" s="141"/>
      <c r="NYL183" s="141"/>
      <c r="NYM183" s="141"/>
      <c r="NYN183" s="141"/>
      <c r="NYO183" s="141"/>
      <c r="NYP183" s="141"/>
      <c r="NYQ183" s="141"/>
      <c r="NYR183" s="141"/>
      <c r="NYS183" s="141"/>
      <c r="NYT183" s="141"/>
      <c r="NYU183" s="141"/>
      <c r="NYV183" s="141"/>
      <c r="NYW183" s="141"/>
      <c r="NYX183" s="141"/>
      <c r="NYY183" s="141"/>
      <c r="NYZ183" s="141"/>
      <c r="NZA183" s="141"/>
      <c r="NZB183" s="141"/>
      <c r="NZC183" s="141"/>
      <c r="NZD183" s="141"/>
      <c r="NZE183" s="141"/>
      <c r="NZF183" s="141"/>
      <c r="NZG183" s="141"/>
      <c r="NZH183" s="141"/>
      <c r="NZI183" s="141"/>
      <c r="NZJ183" s="141"/>
      <c r="NZK183" s="141"/>
      <c r="NZL183" s="141"/>
      <c r="NZM183" s="141"/>
      <c r="NZN183" s="141"/>
      <c r="NZO183" s="141"/>
      <c r="NZP183" s="141"/>
      <c r="NZQ183" s="141"/>
      <c r="NZR183" s="141"/>
      <c r="NZS183" s="141"/>
      <c r="NZT183" s="141"/>
      <c r="NZU183" s="141"/>
      <c r="NZV183" s="141"/>
      <c r="NZW183" s="141"/>
      <c r="NZX183" s="141"/>
      <c r="NZY183" s="141"/>
      <c r="NZZ183" s="141"/>
      <c r="OAA183" s="141"/>
      <c r="OAB183" s="141"/>
      <c r="OAC183" s="141"/>
      <c r="OAD183" s="141"/>
      <c r="OAE183" s="141"/>
      <c r="OAF183" s="141"/>
      <c r="OAG183" s="141"/>
      <c r="OAH183" s="141"/>
      <c r="OAI183" s="141"/>
      <c r="OAJ183" s="141"/>
      <c r="OAK183" s="141"/>
      <c r="OAL183" s="141"/>
      <c r="OAM183" s="141"/>
      <c r="OAN183" s="141"/>
      <c r="OAO183" s="141"/>
      <c r="OAP183" s="141"/>
      <c r="OAQ183" s="141"/>
      <c r="OAR183" s="141"/>
      <c r="OAS183" s="141"/>
      <c r="OAT183" s="141"/>
      <c r="OAU183" s="141"/>
      <c r="OAV183" s="141"/>
      <c r="OAW183" s="141"/>
      <c r="OAX183" s="141"/>
      <c r="OAY183" s="141"/>
      <c r="OAZ183" s="141"/>
      <c r="OBA183" s="141"/>
      <c r="OBB183" s="141"/>
      <c r="OBC183" s="141"/>
      <c r="OBD183" s="141"/>
      <c r="OBE183" s="141"/>
      <c r="OBF183" s="141"/>
      <c r="OBG183" s="141"/>
      <c r="OBH183" s="141"/>
      <c r="OBI183" s="141"/>
      <c r="OBJ183" s="141"/>
      <c r="OBK183" s="141"/>
      <c r="OBL183" s="141"/>
      <c r="OBM183" s="141"/>
      <c r="OBN183" s="141"/>
      <c r="OBO183" s="141"/>
      <c r="OBP183" s="141"/>
      <c r="OBQ183" s="141"/>
      <c r="OBR183" s="141"/>
      <c r="OBS183" s="141"/>
      <c r="OBT183" s="141"/>
      <c r="OBU183" s="141"/>
      <c r="OBV183" s="141"/>
      <c r="OBW183" s="141"/>
      <c r="OBX183" s="141"/>
      <c r="OBY183" s="141"/>
      <c r="OBZ183" s="141"/>
      <c r="OCA183" s="141"/>
      <c r="OCB183" s="141"/>
      <c r="OCC183" s="141"/>
      <c r="OCD183" s="141"/>
      <c r="OCE183" s="141"/>
      <c r="OCF183" s="141"/>
      <c r="OCG183" s="141"/>
      <c r="OCH183" s="141"/>
      <c r="OCI183" s="141"/>
      <c r="OCJ183" s="141"/>
      <c r="OCK183" s="141"/>
      <c r="OCL183" s="141"/>
      <c r="OCM183" s="141"/>
      <c r="OCN183" s="141"/>
      <c r="OCO183" s="141"/>
      <c r="OCP183" s="141"/>
      <c r="OCQ183" s="141"/>
      <c r="OCR183" s="141"/>
      <c r="OCS183" s="141"/>
      <c r="OCT183" s="141"/>
      <c r="OCU183" s="141"/>
      <c r="OCV183" s="141"/>
      <c r="OCW183" s="141"/>
      <c r="OCX183" s="141"/>
      <c r="OCY183" s="141"/>
      <c r="OCZ183" s="141"/>
      <c r="ODA183" s="141"/>
      <c r="ODB183" s="141"/>
      <c r="ODC183" s="141"/>
      <c r="ODD183" s="141"/>
      <c r="ODE183" s="141"/>
      <c r="ODF183" s="141"/>
      <c r="ODG183" s="141"/>
      <c r="ODH183" s="141"/>
      <c r="ODI183" s="141"/>
      <c r="ODJ183" s="141"/>
      <c r="ODK183" s="141"/>
      <c r="ODL183" s="141"/>
      <c r="ODM183" s="141"/>
      <c r="ODN183" s="141"/>
      <c r="ODO183" s="141"/>
      <c r="ODP183" s="141"/>
      <c r="ODQ183" s="141"/>
      <c r="ODR183" s="141"/>
      <c r="ODS183" s="141"/>
      <c r="ODT183" s="141"/>
      <c r="ODU183" s="141"/>
      <c r="ODV183" s="141"/>
      <c r="ODW183" s="141"/>
      <c r="ODX183" s="141"/>
      <c r="ODY183" s="141"/>
      <c r="ODZ183" s="141"/>
      <c r="OEA183" s="141"/>
      <c r="OEB183" s="141"/>
      <c r="OEC183" s="141"/>
      <c r="OED183" s="141"/>
      <c r="OEE183" s="141"/>
      <c r="OEF183" s="141"/>
      <c r="OEG183" s="141"/>
      <c r="OEH183" s="141"/>
      <c r="OEI183" s="141"/>
      <c r="OEJ183" s="141"/>
      <c r="OEK183" s="141"/>
      <c r="OEL183" s="141"/>
      <c r="OEM183" s="141"/>
      <c r="OEN183" s="141"/>
      <c r="OEO183" s="141"/>
      <c r="OEP183" s="141"/>
      <c r="OEQ183" s="141"/>
      <c r="OER183" s="141"/>
      <c r="OES183" s="141"/>
      <c r="OET183" s="141"/>
      <c r="OEU183" s="141"/>
      <c r="OEV183" s="141"/>
      <c r="OEW183" s="141"/>
      <c r="OEX183" s="141"/>
      <c r="OEY183" s="141"/>
      <c r="OEZ183" s="141"/>
      <c r="OFA183" s="141"/>
      <c r="OFB183" s="141"/>
      <c r="OFC183" s="141"/>
      <c r="OFD183" s="141"/>
      <c r="OFE183" s="141"/>
      <c r="OFF183" s="141"/>
      <c r="OFG183" s="141"/>
      <c r="OFH183" s="141"/>
      <c r="OFI183" s="141"/>
      <c r="OFJ183" s="141"/>
      <c r="OFK183" s="141"/>
      <c r="OFL183" s="141"/>
      <c r="OFM183" s="141"/>
      <c r="OFN183" s="141"/>
      <c r="OFO183" s="141"/>
      <c r="OFP183" s="141"/>
      <c r="OFQ183" s="141"/>
      <c r="OFR183" s="141"/>
      <c r="OFS183" s="141"/>
      <c r="OFT183" s="141"/>
      <c r="OFU183" s="141"/>
      <c r="OFV183" s="141"/>
      <c r="OFW183" s="141"/>
      <c r="OFX183" s="141"/>
      <c r="OFY183" s="141"/>
      <c r="OFZ183" s="141"/>
      <c r="OGA183" s="141"/>
      <c r="OGB183" s="141"/>
      <c r="OGC183" s="141"/>
      <c r="OGD183" s="141"/>
      <c r="OGE183" s="141"/>
      <c r="OGF183" s="141"/>
      <c r="OGG183" s="141"/>
      <c r="OGH183" s="141"/>
      <c r="OGI183" s="141"/>
      <c r="OGJ183" s="141"/>
      <c r="OGK183" s="141"/>
      <c r="OGL183" s="141"/>
      <c r="OGM183" s="141"/>
      <c r="OGN183" s="141"/>
      <c r="OGO183" s="141"/>
      <c r="OGP183" s="141"/>
      <c r="OGQ183" s="141"/>
      <c r="OGR183" s="141"/>
      <c r="OGS183" s="141"/>
      <c r="OGT183" s="141"/>
      <c r="OGU183" s="141"/>
      <c r="OGV183" s="141"/>
      <c r="OGW183" s="141"/>
      <c r="OGX183" s="141"/>
      <c r="OGY183" s="141"/>
      <c r="OGZ183" s="141"/>
      <c r="OHA183" s="141"/>
      <c r="OHB183" s="141"/>
      <c r="OHC183" s="141"/>
      <c r="OHD183" s="141"/>
      <c r="OHE183" s="141"/>
      <c r="OHF183" s="141"/>
      <c r="OHG183" s="141"/>
      <c r="OHH183" s="141"/>
      <c r="OHI183" s="141"/>
      <c r="OHJ183" s="141"/>
      <c r="OHK183" s="141"/>
      <c r="OHL183" s="141"/>
      <c r="OHM183" s="141"/>
      <c r="OHN183" s="141"/>
      <c r="OHO183" s="141"/>
      <c r="OHP183" s="141"/>
      <c r="OHQ183" s="141"/>
      <c r="OHR183" s="141"/>
      <c r="OHS183" s="141"/>
      <c r="OHT183" s="141"/>
      <c r="OHU183" s="141"/>
      <c r="OHV183" s="141"/>
      <c r="OHW183" s="141"/>
      <c r="OHX183" s="141"/>
      <c r="OHY183" s="141"/>
      <c r="OHZ183" s="141"/>
      <c r="OIA183" s="141"/>
      <c r="OIB183" s="141"/>
      <c r="OIC183" s="141"/>
      <c r="OID183" s="141"/>
      <c r="OIE183" s="141"/>
      <c r="OIF183" s="141"/>
      <c r="OIG183" s="141"/>
      <c r="OIH183" s="141"/>
      <c r="OII183" s="141"/>
      <c r="OIJ183" s="141"/>
      <c r="OIK183" s="141"/>
      <c r="OIL183" s="141"/>
      <c r="OIM183" s="141"/>
      <c r="OIN183" s="141"/>
      <c r="OIO183" s="141"/>
      <c r="OIP183" s="141"/>
      <c r="OIQ183" s="141"/>
      <c r="OIR183" s="141"/>
      <c r="OIS183" s="141"/>
      <c r="OIT183" s="141"/>
      <c r="OIU183" s="141"/>
      <c r="OIV183" s="141"/>
      <c r="OIW183" s="141"/>
      <c r="OIX183" s="141"/>
      <c r="OIY183" s="141"/>
      <c r="OIZ183" s="141"/>
      <c r="OJA183" s="141"/>
      <c r="OJB183" s="141"/>
      <c r="OJC183" s="141"/>
      <c r="OJD183" s="141"/>
      <c r="OJE183" s="141"/>
      <c r="OJF183" s="141"/>
      <c r="OJG183" s="141"/>
      <c r="OJH183" s="141"/>
      <c r="OJI183" s="141"/>
      <c r="OJJ183" s="141"/>
      <c r="OJK183" s="141"/>
      <c r="OJL183" s="141"/>
      <c r="OJM183" s="141"/>
      <c r="OJN183" s="141"/>
      <c r="OJO183" s="141"/>
      <c r="OJP183" s="141"/>
      <c r="OJQ183" s="141"/>
      <c r="OJR183" s="141"/>
      <c r="OJS183" s="141"/>
      <c r="OJT183" s="141"/>
      <c r="OJU183" s="141"/>
      <c r="OJV183" s="141"/>
      <c r="OJW183" s="141"/>
      <c r="OJX183" s="141"/>
      <c r="OJY183" s="141"/>
      <c r="OJZ183" s="141"/>
      <c r="OKA183" s="141"/>
      <c r="OKB183" s="141"/>
      <c r="OKC183" s="141"/>
      <c r="OKD183" s="141"/>
      <c r="OKE183" s="141"/>
      <c r="OKF183" s="141"/>
      <c r="OKG183" s="141"/>
      <c r="OKH183" s="141"/>
      <c r="OKI183" s="141"/>
      <c r="OKJ183" s="141"/>
      <c r="OKK183" s="141"/>
      <c r="OKL183" s="141"/>
      <c r="OKM183" s="141"/>
      <c r="OKN183" s="141"/>
      <c r="OKO183" s="141"/>
      <c r="OKP183" s="141"/>
      <c r="OKQ183" s="141"/>
      <c r="OKR183" s="141"/>
      <c r="OKS183" s="141"/>
      <c r="OKT183" s="141"/>
      <c r="OKU183" s="141"/>
      <c r="OKV183" s="141"/>
      <c r="OKW183" s="141"/>
      <c r="OKX183" s="141"/>
      <c r="OKY183" s="141"/>
      <c r="OKZ183" s="141"/>
      <c r="OLA183" s="141"/>
      <c r="OLB183" s="141"/>
      <c r="OLC183" s="141"/>
      <c r="OLD183" s="141"/>
      <c r="OLE183" s="141"/>
      <c r="OLF183" s="141"/>
      <c r="OLG183" s="141"/>
      <c r="OLH183" s="141"/>
      <c r="OLI183" s="141"/>
      <c r="OLJ183" s="141"/>
      <c r="OLK183" s="141"/>
      <c r="OLL183" s="141"/>
      <c r="OLM183" s="141"/>
      <c r="OLN183" s="141"/>
      <c r="OLO183" s="141"/>
      <c r="OLP183" s="141"/>
      <c r="OLQ183" s="141"/>
      <c r="OLR183" s="141"/>
      <c r="OLS183" s="141"/>
      <c r="OLT183" s="141"/>
      <c r="OLU183" s="141"/>
      <c r="OLV183" s="141"/>
      <c r="OLW183" s="141"/>
      <c r="OLX183" s="141"/>
      <c r="OLY183" s="141"/>
      <c r="OLZ183" s="141"/>
      <c r="OMA183" s="141"/>
      <c r="OMB183" s="141"/>
      <c r="OMC183" s="141"/>
      <c r="OMD183" s="141"/>
      <c r="OME183" s="141"/>
      <c r="OMF183" s="141"/>
      <c r="OMG183" s="141"/>
      <c r="OMH183" s="141"/>
      <c r="OMI183" s="141"/>
      <c r="OMJ183" s="141"/>
      <c r="OMK183" s="141"/>
      <c r="OML183" s="141"/>
      <c r="OMM183" s="141"/>
      <c r="OMN183" s="141"/>
      <c r="OMO183" s="141"/>
      <c r="OMP183" s="141"/>
      <c r="OMQ183" s="141"/>
      <c r="OMR183" s="141"/>
      <c r="OMS183" s="141"/>
      <c r="OMT183" s="141"/>
      <c r="OMU183" s="141"/>
      <c r="OMV183" s="141"/>
      <c r="OMW183" s="141"/>
      <c r="OMX183" s="141"/>
      <c r="OMY183" s="141"/>
      <c r="OMZ183" s="141"/>
      <c r="ONA183" s="141"/>
      <c r="ONB183" s="141"/>
      <c r="ONC183" s="141"/>
      <c r="OND183" s="141"/>
      <c r="ONE183" s="141"/>
      <c r="ONF183" s="141"/>
      <c r="ONG183" s="141"/>
      <c r="ONH183" s="141"/>
      <c r="ONI183" s="141"/>
      <c r="ONJ183" s="141"/>
      <c r="ONK183" s="141"/>
      <c r="ONL183" s="141"/>
      <c r="ONM183" s="141"/>
      <c r="ONN183" s="141"/>
      <c r="ONO183" s="141"/>
      <c r="ONP183" s="141"/>
      <c r="ONQ183" s="141"/>
      <c r="ONR183" s="141"/>
      <c r="ONS183" s="141"/>
      <c r="ONT183" s="141"/>
      <c r="ONU183" s="141"/>
      <c r="ONV183" s="141"/>
      <c r="ONW183" s="141"/>
      <c r="ONX183" s="141"/>
      <c r="ONY183" s="141"/>
      <c r="ONZ183" s="141"/>
      <c r="OOA183" s="141"/>
      <c r="OOB183" s="141"/>
      <c r="OOC183" s="141"/>
      <c r="OOD183" s="141"/>
      <c r="OOE183" s="141"/>
      <c r="OOF183" s="141"/>
      <c r="OOG183" s="141"/>
      <c r="OOH183" s="141"/>
      <c r="OOI183" s="141"/>
      <c r="OOJ183" s="141"/>
      <c r="OOK183" s="141"/>
      <c r="OOL183" s="141"/>
      <c r="OOM183" s="141"/>
      <c r="OON183" s="141"/>
      <c r="OOO183" s="141"/>
      <c r="OOP183" s="141"/>
      <c r="OOQ183" s="141"/>
      <c r="OOR183" s="141"/>
      <c r="OOS183" s="141"/>
      <c r="OOT183" s="141"/>
      <c r="OOU183" s="141"/>
      <c r="OOV183" s="141"/>
      <c r="OOW183" s="141"/>
      <c r="OOX183" s="141"/>
      <c r="OOY183" s="141"/>
      <c r="OOZ183" s="141"/>
      <c r="OPA183" s="141"/>
      <c r="OPB183" s="141"/>
      <c r="OPC183" s="141"/>
      <c r="OPD183" s="141"/>
      <c r="OPE183" s="141"/>
      <c r="OPF183" s="141"/>
      <c r="OPG183" s="141"/>
      <c r="OPH183" s="141"/>
      <c r="OPI183" s="141"/>
      <c r="OPJ183" s="141"/>
      <c r="OPK183" s="141"/>
      <c r="OPL183" s="141"/>
      <c r="OPM183" s="141"/>
      <c r="OPN183" s="141"/>
      <c r="OPO183" s="141"/>
      <c r="OPP183" s="141"/>
      <c r="OPQ183" s="141"/>
      <c r="OPR183" s="141"/>
      <c r="OPS183" s="141"/>
      <c r="OPT183" s="141"/>
      <c r="OPU183" s="141"/>
      <c r="OPV183" s="141"/>
      <c r="OPW183" s="141"/>
      <c r="OPX183" s="141"/>
      <c r="OPY183" s="141"/>
      <c r="OPZ183" s="141"/>
      <c r="OQA183" s="141"/>
      <c r="OQB183" s="141"/>
      <c r="OQC183" s="141"/>
      <c r="OQD183" s="141"/>
      <c r="OQE183" s="141"/>
      <c r="OQF183" s="141"/>
      <c r="OQG183" s="141"/>
      <c r="OQH183" s="141"/>
      <c r="OQI183" s="141"/>
      <c r="OQJ183" s="141"/>
      <c r="OQK183" s="141"/>
      <c r="OQL183" s="141"/>
      <c r="OQM183" s="141"/>
      <c r="OQN183" s="141"/>
      <c r="OQO183" s="141"/>
      <c r="OQP183" s="141"/>
      <c r="OQQ183" s="141"/>
      <c r="OQR183" s="141"/>
      <c r="OQS183" s="141"/>
      <c r="OQT183" s="141"/>
      <c r="OQU183" s="141"/>
      <c r="OQV183" s="141"/>
      <c r="OQW183" s="141"/>
      <c r="OQX183" s="141"/>
      <c r="OQY183" s="141"/>
      <c r="OQZ183" s="141"/>
      <c r="ORA183" s="141"/>
      <c r="ORB183" s="141"/>
      <c r="ORC183" s="141"/>
      <c r="ORD183" s="141"/>
      <c r="ORE183" s="141"/>
      <c r="ORF183" s="141"/>
      <c r="ORG183" s="141"/>
      <c r="ORH183" s="141"/>
      <c r="ORI183" s="141"/>
      <c r="ORJ183" s="141"/>
      <c r="ORK183" s="141"/>
      <c r="ORL183" s="141"/>
      <c r="ORM183" s="141"/>
      <c r="ORN183" s="141"/>
      <c r="ORO183" s="141"/>
      <c r="ORP183" s="141"/>
      <c r="ORQ183" s="141"/>
      <c r="ORR183" s="141"/>
      <c r="ORS183" s="141"/>
      <c r="ORT183" s="141"/>
      <c r="ORU183" s="141"/>
      <c r="ORV183" s="141"/>
      <c r="ORW183" s="141"/>
      <c r="ORX183" s="141"/>
      <c r="ORY183" s="141"/>
      <c r="ORZ183" s="141"/>
      <c r="OSA183" s="141"/>
      <c r="OSB183" s="141"/>
      <c r="OSC183" s="141"/>
      <c r="OSD183" s="141"/>
      <c r="OSE183" s="141"/>
      <c r="OSF183" s="141"/>
      <c r="OSG183" s="141"/>
      <c r="OSH183" s="141"/>
      <c r="OSI183" s="141"/>
      <c r="OSJ183" s="141"/>
      <c r="OSK183" s="141"/>
      <c r="OSL183" s="141"/>
      <c r="OSM183" s="141"/>
      <c r="OSN183" s="141"/>
      <c r="OSO183" s="141"/>
      <c r="OSP183" s="141"/>
      <c r="OSQ183" s="141"/>
      <c r="OSR183" s="141"/>
      <c r="OSS183" s="141"/>
      <c r="OST183" s="141"/>
      <c r="OSU183" s="141"/>
      <c r="OSV183" s="141"/>
      <c r="OSW183" s="141"/>
      <c r="OSX183" s="141"/>
      <c r="OSY183" s="141"/>
      <c r="OSZ183" s="141"/>
      <c r="OTA183" s="141"/>
      <c r="OTB183" s="141"/>
      <c r="OTC183" s="141"/>
      <c r="OTD183" s="141"/>
      <c r="OTE183" s="141"/>
      <c r="OTF183" s="141"/>
      <c r="OTG183" s="141"/>
      <c r="OTH183" s="141"/>
      <c r="OTI183" s="141"/>
      <c r="OTJ183" s="141"/>
      <c r="OTK183" s="141"/>
      <c r="OTL183" s="141"/>
      <c r="OTM183" s="141"/>
      <c r="OTN183" s="141"/>
      <c r="OTO183" s="141"/>
      <c r="OTP183" s="141"/>
      <c r="OTQ183" s="141"/>
      <c r="OTR183" s="141"/>
      <c r="OTS183" s="141"/>
      <c r="OTT183" s="141"/>
      <c r="OTU183" s="141"/>
      <c r="OTV183" s="141"/>
      <c r="OTW183" s="141"/>
      <c r="OTX183" s="141"/>
      <c r="OTY183" s="141"/>
      <c r="OTZ183" s="141"/>
      <c r="OUA183" s="141"/>
      <c r="OUB183" s="141"/>
      <c r="OUC183" s="141"/>
      <c r="OUD183" s="141"/>
      <c r="OUE183" s="141"/>
      <c r="OUF183" s="141"/>
      <c r="OUG183" s="141"/>
      <c r="OUH183" s="141"/>
      <c r="OUI183" s="141"/>
      <c r="OUJ183" s="141"/>
      <c r="OUK183" s="141"/>
      <c r="OUL183" s="141"/>
      <c r="OUM183" s="141"/>
      <c r="OUN183" s="141"/>
      <c r="OUO183" s="141"/>
      <c r="OUP183" s="141"/>
      <c r="OUQ183" s="141"/>
      <c r="OUR183" s="141"/>
      <c r="OUS183" s="141"/>
      <c r="OUT183" s="141"/>
      <c r="OUU183" s="141"/>
      <c r="OUV183" s="141"/>
      <c r="OUW183" s="141"/>
      <c r="OUX183" s="141"/>
      <c r="OUY183" s="141"/>
      <c r="OUZ183" s="141"/>
      <c r="OVA183" s="141"/>
      <c r="OVB183" s="141"/>
      <c r="OVC183" s="141"/>
      <c r="OVD183" s="141"/>
      <c r="OVE183" s="141"/>
      <c r="OVF183" s="141"/>
      <c r="OVG183" s="141"/>
      <c r="OVH183" s="141"/>
      <c r="OVI183" s="141"/>
      <c r="OVJ183" s="141"/>
      <c r="OVK183" s="141"/>
      <c r="OVL183" s="141"/>
      <c r="OVM183" s="141"/>
      <c r="OVN183" s="141"/>
      <c r="OVO183" s="141"/>
      <c r="OVP183" s="141"/>
      <c r="OVQ183" s="141"/>
      <c r="OVR183" s="141"/>
      <c r="OVS183" s="141"/>
      <c r="OVT183" s="141"/>
      <c r="OVU183" s="141"/>
      <c r="OVV183" s="141"/>
      <c r="OVW183" s="141"/>
      <c r="OVX183" s="141"/>
      <c r="OVY183" s="141"/>
      <c r="OVZ183" s="141"/>
      <c r="OWA183" s="141"/>
      <c r="OWB183" s="141"/>
      <c r="OWC183" s="141"/>
      <c r="OWD183" s="141"/>
      <c r="OWE183" s="141"/>
      <c r="OWF183" s="141"/>
      <c r="OWG183" s="141"/>
      <c r="OWH183" s="141"/>
      <c r="OWI183" s="141"/>
      <c r="OWJ183" s="141"/>
      <c r="OWK183" s="141"/>
      <c r="OWL183" s="141"/>
      <c r="OWM183" s="141"/>
      <c r="OWN183" s="141"/>
      <c r="OWO183" s="141"/>
      <c r="OWP183" s="141"/>
      <c r="OWQ183" s="141"/>
      <c r="OWR183" s="141"/>
      <c r="OWS183" s="141"/>
      <c r="OWT183" s="141"/>
      <c r="OWU183" s="141"/>
      <c r="OWV183" s="141"/>
      <c r="OWW183" s="141"/>
      <c r="OWX183" s="141"/>
      <c r="OWY183" s="141"/>
      <c r="OWZ183" s="141"/>
      <c r="OXA183" s="141"/>
      <c r="OXB183" s="141"/>
      <c r="OXC183" s="141"/>
      <c r="OXD183" s="141"/>
      <c r="OXE183" s="141"/>
      <c r="OXF183" s="141"/>
      <c r="OXG183" s="141"/>
      <c r="OXH183" s="141"/>
      <c r="OXI183" s="141"/>
      <c r="OXJ183" s="141"/>
      <c r="OXK183" s="141"/>
      <c r="OXL183" s="141"/>
      <c r="OXM183" s="141"/>
      <c r="OXN183" s="141"/>
      <c r="OXO183" s="141"/>
      <c r="OXP183" s="141"/>
      <c r="OXQ183" s="141"/>
      <c r="OXR183" s="141"/>
      <c r="OXS183" s="141"/>
      <c r="OXT183" s="141"/>
      <c r="OXU183" s="141"/>
      <c r="OXV183" s="141"/>
      <c r="OXW183" s="141"/>
      <c r="OXX183" s="141"/>
      <c r="OXY183" s="141"/>
      <c r="OXZ183" s="141"/>
      <c r="OYA183" s="141"/>
      <c r="OYB183" s="141"/>
      <c r="OYC183" s="141"/>
      <c r="OYD183" s="141"/>
      <c r="OYE183" s="141"/>
      <c r="OYF183" s="141"/>
      <c r="OYG183" s="141"/>
      <c r="OYH183" s="141"/>
      <c r="OYI183" s="141"/>
      <c r="OYJ183" s="141"/>
      <c r="OYK183" s="141"/>
      <c r="OYL183" s="141"/>
      <c r="OYM183" s="141"/>
      <c r="OYN183" s="141"/>
      <c r="OYO183" s="141"/>
      <c r="OYP183" s="141"/>
      <c r="OYQ183" s="141"/>
      <c r="OYR183" s="141"/>
      <c r="OYS183" s="141"/>
      <c r="OYT183" s="141"/>
      <c r="OYU183" s="141"/>
      <c r="OYV183" s="141"/>
      <c r="OYW183" s="141"/>
      <c r="OYX183" s="141"/>
      <c r="OYY183" s="141"/>
      <c r="OYZ183" s="141"/>
      <c r="OZA183" s="141"/>
      <c r="OZB183" s="141"/>
      <c r="OZC183" s="141"/>
      <c r="OZD183" s="141"/>
      <c r="OZE183" s="141"/>
      <c r="OZF183" s="141"/>
      <c r="OZG183" s="141"/>
      <c r="OZH183" s="141"/>
      <c r="OZI183" s="141"/>
      <c r="OZJ183" s="141"/>
      <c r="OZK183" s="141"/>
      <c r="OZL183" s="141"/>
      <c r="OZM183" s="141"/>
      <c r="OZN183" s="141"/>
      <c r="OZO183" s="141"/>
      <c r="OZP183" s="141"/>
      <c r="OZQ183" s="141"/>
      <c r="OZR183" s="141"/>
      <c r="OZS183" s="141"/>
      <c r="OZT183" s="141"/>
      <c r="OZU183" s="141"/>
      <c r="OZV183" s="141"/>
      <c r="OZW183" s="141"/>
      <c r="OZX183" s="141"/>
      <c r="OZY183" s="141"/>
      <c r="OZZ183" s="141"/>
      <c r="PAA183" s="141"/>
      <c r="PAB183" s="141"/>
      <c r="PAC183" s="141"/>
      <c r="PAD183" s="141"/>
      <c r="PAE183" s="141"/>
      <c r="PAF183" s="141"/>
      <c r="PAG183" s="141"/>
      <c r="PAH183" s="141"/>
      <c r="PAI183" s="141"/>
      <c r="PAJ183" s="141"/>
      <c r="PAK183" s="141"/>
      <c r="PAL183" s="141"/>
      <c r="PAM183" s="141"/>
      <c r="PAN183" s="141"/>
      <c r="PAO183" s="141"/>
      <c r="PAP183" s="141"/>
      <c r="PAQ183" s="141"/>
      <c r="PAR183" s="141"/>
      <c r="PAS183" s="141"/>
      <c r="PAT183" s="141"/>
      <c r="PAU183" s="141"/>
      <c r="PAV183" s="141"/>
      <c r="PAW183" s="141"/>
      <c r="PAX183" s="141"/>
      <c r="PAY183" s="141"/>
      <c r="PAZ183" s="141"/>
      <c r="PBA183" s="141"/>
      <c r="PBB183" s="141"/>
      <c r="PBC183" s="141"/>
      <c r="PBD183" s="141"/>
      <c r="PBE183" s="141"/>
      <c r="PBF183" s="141"/>
      <c r="PBG183" s="141"/>
      <c r="PBH183" s="141"/>
      <c r="PBI183" s="141"/>
      <c r="PBJ183" s="141"/>
      <c r="PBK183" s="141"/>
      <c r="PBL183" s="141"/>
      <c r="PBM183" s="141"/>
      <c r="PBN183" s="141"/>
      <c r="PBO183" s="141"/>
      <c r="PBP183" s="141"/>
      <c r="PBQ183" s="141"/>
      <c r="PBR183" s="141"/>
      <c r="PBS183" s="141"/>
      <c r="PBT183" s="141"/>
      <c r="PBU183" s="141"/>
      <c r="PBV183" s="141"/>
      <c r="PBW183" s="141"/>
      <c r="PBX183" s="141"/>
      <c r="PBY183" s="141"/>
      <c r="PBZ183" s="141"/>
      <c r="PCA183" s="141"/>
      <c r="PCB183" s="141"/>
      <c r="PCC183" s="141"/>
      <c r="PCD183" s="141"/>
      <c r="PCE183" s="141"/>
      <c r="PCF183" s="141"/>
      <c r="PCG183" s="141"/>
      <c r="PCH183" s="141"/>
      <c r="PCI183" s="141"/>
      <c r="PCJ183" s="141"/>
      <c r="PCK183" s="141"/>
      <c r="PCL183" s="141"/>
      <c r="PCM183" s="141"/>
      <c r="PCN183" s="141"/>
      <c r="PCO183" s="141"/>
      <c r="PCP183" s="141"/>
      <c r="PCQ183" s="141"/>
      <c r="PCR183" s="141"/>
      <c r="PCS183" s="141"/>
      <c r="PCT183" s="141"/>
      <c r="PCU183" s="141"/>
      <c r="PCV183" s="141"/>
      <c r="PCW183" s="141"/>
      <c r="PCX183" s="141"/>
      <c r="PCY183" s="141"/>
      <c r="PCZ183" s="141"/>
      <c r="PDA183" s="141"/>
      <c r="PDB183" s="141"/>
      <c r="PDC183" s="141"/>
      <c r="PDD183" s="141"/>
      <c r="PDE183" s="141"/>
      <c r="PDF183" s="141"/>
      <c r="PDG183" s="141"/>
      <c r="PDH183" s="141"/>
      <c r="PDI183" s="141"/>
      <c r="PDJ183" s="141"/>
      <c r="PDK183" s="141"/>
      <c r="PDL183" s="141"/>
      <c r="PDM183" s="141"/>
      <c r="PDN183" s="141"/>
      <c r="PDO183" s="141"/>
      <c r="PDP183" s="141"/>
      <c r="PDQ183" s="141"/>
      <c r="PDR183" s="141"/>
      <c r="PDS183" s="141"/>
      <c r="PDT183" s="141"/>
      <c r="PDU183" s="141"/>
      <c r="PDV183" s="141"/>
      <c r="PDW183" s="141"/>
      <c r="PDX183" s="141"/>
      <c r="PDY183" s="141"/>
      <c r="PDZ183" s="141"/>
      <c r="PEA183" s="141"/>
      <c r="PEB183" s="141"/>
      <c r="PEC183" s="141"/>
      <c r="PED183" s="141"/>
      <c r="PEE183" s="141"/>
      <c r="PEF183" s="141"/>
      <c r="PEG183" s="141"/>
      <c r="PEH183" s="141"/>
      <c r="PEI183" s="141"/>
      <c r="PEJ183" s="141"/>
      <c r="PEK183" s="141"/>
      <c r="PEL183" s="141"/>
      <c r="PEM183" s="141"/>
      <c r="PEN183" s="141"/>
      <c r="PEO183" s="141"/>
      <c r="PEP183" s="141"/>
      <c r="PEQ183" s="141"/>
      <c r="PER183" s="141"/>
      <c r="PES183" s="141"/>
      <c r="PET183" s="141"/>
      <c r="PEU183" s="141"/>
      <c r="PEV183" s="141"/>
      <c r="PEW183" s="141"/>
      <c r="PEX183" s="141"/>
      <c r="PEY183" s="141"/>
      <c r="PEZ183" s="141"/>
      <c r="PFA183" s="141"/>
      <c r="PFB183" s="141"/>
      <c r="PFC183" s="141"/>
      <c r="PFD183" s="141"/>
      <c r="PFE183" s="141"/>
      <c r="PFF183" s="141"/>
      <c r="PFG183" s="141"/>
      <c r="PFH183" s="141"/>
      <c r="PFI183" s="141"/>
      <c r="PFJ183" s="141"/>
      <c r="PFK183" s="141"/>
      <c r="PFL183" s="141"/>
      <c r="PFM183" s="141"/>
      <c r="PFN183" s="141"/>
      <c r="PFO183" s="141"/>
      <c r="PFP183" s="141"/>
      <c r="PFQ183" s="141"/>
      <c r="PFR183" s="141"/>
      <c r="PFS183" s="141"/>
      <c r="PFT183" s="141"/>
      <c r="PFU183" s="141"/>
      <c r="PFV183" s="141"/>
      <c r="PFW183" s="141"/>
      <c r="PFX183" s="141"/>
      <c r="PFY183" s="141"/>
      <c r="PFZ183" s="141"/>
      <c r="PGA183" s="141"/>
      <c r="PGB183" s="141"/>
      <c r="PGC183" s="141"/>
      <c r="PGD183" s="141"/>
      <c r="PGE183" s="141"/>
      <c r="PGF183" s="141"/>
      <c r="PGG183" s="141"/>
      <c r="PGH183" s="141"/>
      <c r="PGI183" s="141"/>
      <c r="PGJ183" s="141"/>
      <c r="PGK183" s="141"/>
      <c r="PGL183" s="141"/>
      <c r="PGM183" s="141"/>
      <c r="PGN183" s="141"/>
      <c r="PGO183" s="141"/>
      <c r="PGP183" s="141"/>
      <c r="PGQ183" s="141"/>
      <c r="PGR183" s="141"/>
      <c r="PGS183" s="141"/>
      <c r="PGT183" s="141"/>
      <c r="PGU183" s="141"/>
      <c r="PGV183" s="141"/>
      <c r="PGW183" s="141"/>
      <c r="PGX183" s="141"/>
      <c r="PGY183" s="141"/>
      <c r="PGZ183" s="141"/>
      <c r="PHA183" s="141"/>
      <c r="PHB183" s="141"/>
      <c r="PHC183" s="141"/>
      <c r="PHD183" s="141"/>
      <c r="PHE183" s="141"/>
      <c r="PHF183" s="141"/>
      <c r="PHG183" s="141"/>
      <c r="PHH183" s="141"/>
      <c r="PHI183" s="141"/>
      <c r="PHJ183" s="141"/>
      <c r="PHK183" s="141"/>
      <c r="PHL183" s="141"/>
      <c r="PHM183" s="141"/>
      <c r="PHN183" s="141"/>
      <c r="PHO183" s="141"/>
      <c r="PHP183" s="141"/>
      <c r="PHQ183" s="141"/>
      <c r="PHR183" s="141"/>
      <c r="PHS183" s="141"/>
      <c r="PHT183" s="141"/>
      <c r="PHU183" s="141"/>
      <c r="PHV183" s="141"/>
      <c r="PHW183" s="141"/>
      <c r="PHX183" s="141"/>
      <c r="PHY183" s="141"/>
      <c r="PHZ183" s="141"/>
      <c r="PIA183" s="141"/>
      <c r="PIB183" s="141"/>
      <c r="PIC183" s="141"/>
      <c r="PID183" s="141"/>
      <c r="PIE183" s="141"/>
      <c r="PIF183" s="141"/>
      <c r="PIG183" s="141"/>
      <c r="PIH183" s="141"/>
      <c r="PII183" s="141"/>
      <c r="PIJ183" s="141"/>
      <c r="PIK183" s="141"/>
      <c r="PIL183" s="141"/>
      <c r="PIM183" s="141"/>
      <c r="PIN183" s="141"/>
      <c r="PIO183" s="141"/>
      <c r="PIP183" s="141"/>
      <c r="PIQ183" s="141"/>
      <c r="PIR183" s="141"/>
      <c r="PIS183" s="141"/>
      <c r="PIT183" s="141"/>
      <c r="PIU183" s="141"/>
      <c r="PIV183" s="141"/>
      <c r="PIW183" s="141"/>
      <c r="PIX183" s="141"/>
      <c r="PIY183" s="141"/>
      <c r="PIZ183" s="141"/>
      <c r="PJA183" s="141"/>
      <c r="PJB183" s="141"/>
      <c r="PJC183" s="141"/>
      <c r="PJD183" s="141"/>
      <c r="PJE183" s="141"/>
      <c r="PJF183" s="141"/>
      <c r="PJG183" s="141"/>
      <c r="PJH183" s="141"/>
      <c r="PJI183" s="141"/>
      <c r="PJJ183" s="141"/>
      <c r="PJK183" s="141"/>
      <c r="PJL183" s="141"/>
      <c r="PJM183" s="141"/>
      <c r="PJN183" s="141"/>
      <c r="PJO183" s="141"/>
      <c r="PJP183" s="141"/>
      <c r="PJQ183" s="141"/>
      <c r="PJR183" s="141"/>
      <c r="PJS183" s="141"/>
      <c r="PJT183" s="141"/>
      <c r="PJU183" s="141"/>
      <c r="PJV183" s="141"/>
      <c r="PJW183" s="141"/>
      <c r="PJX183" s="141"/>
      <c r="PJY183" s="141"/>
      <c r="PJZ183" s="141"/>
      <c r="PKA183" s="141"/>
      <c r="PKB183" s="141"/>
      <c r="PKC183" s="141"/>
      <c r="PKD183" s="141"/>
      <c r="PKE183" s="141"/>
      <c r="PKF183" s="141"/>
      <c r="PKG183" s="141"/>
      <c r="PKH183" s="141"/>
      <c r="PKI183" s="141"/>
      <c r="PKJ183" s="141"/>
      <c r="PKK183" s="141"/>
      <c r="PKL183" s="141"/>
      <c r="PKM183" s="141"/>
      <c r="PKN183" s="141"/>
      <c r="PKO183" s="141"/>
      <c r="PKP183" s="141"/>
      <c r="PKQ183" s="141"/>
      <c r="PKR183" s="141"/>
      <c r="PKS183" s="141"/>
      <c r="PKT183" s="141"/>
      <c r="PKU183" s="141"/>
      <c r="PKV183" s="141"/>
      <c r="PKW183" s="141"/>
      <c r="PKX183" s="141"/>
      <c r="PKY183" s="141"/>
      <c r="PKZ183" s="141"/>
      <c r="PLA183" s="141"/>
      <c r="PLB183" s="141"/>
      <c r="PLC183" s="141"/>
      <c r="PLD183" s="141"/>
      <c r="PLE183" s="141"/>
      <c r="PLF183" s="141"/>
      <c r="PLG183" s="141"/>
      <c r="PLH183" s="141"/>
      <c r="PLI183" s="141"/>
      <c r="PLJ183" s="141"/>
      <c r="PLK183" s="141"/>
      <c r="PLL183" s="141"/>
      <c r="PLM183" s="141"/>
      <c r="PLN183" s="141"/>
      <c r="PLO183" s="141"/>
      <c r="PLP183" s="141"/>
      <c r="PLQ183" s="141"/>
      <c r="PLR183" s="141"/>
      <c r="PLS183" s="141"/>
      <c r="PLT183" s="141"/>
      <c r="PLU183" s="141"/>
      <c r="PLV183" s="141"/>
      <c r="PLW183" s="141"/>
      <c r="PLX183" s="141"/>
      <c r="PLY183" s="141"/>
      <c r="PLZ183" s="141"/>
      <c r="PMA183" s="141"/>
      <c r="PMB183" s="141"/>
      <c r="PMC183" s="141"/>
      <c r="PMD183" s="141"/>
      <c r="PME183" s="141"/>
      <c r="PMF183" s="141"/>
      <c r="PMG183" s="141"/>
      <c r="PMH183" s="141"/>
      <c r="PMI183" s="141"/>
      <c r="PMJ183" s="141"/>
      <c r="PMK183" s="141"/>
      <c r="PML183" s="141"/>
      <c r="PMM183" s="141"/>
      <c r="PMN183" s="141"/>
      <c r="PMO183" s="141"/>
      <c r="PMP183" s="141"/>
      <c r="PMQ183" s="141"/>
      <c r="PMR183" s="141"/>
      <c r="PMS183" s="141"/>
      <c r="PMT183" s="141"/>
      <c r="PMU183" s="141"/>
      <c r="PMV183" s="141"/>
      <c r="PMW183" s="141"/>
      <c r="PMX183" s="141"/>
      <c r="PMY183" s="141"/>
      <c r="PMZ183" s="141"/>
      <c r="PNA183" s="141"/>
      <c r="PNB183" s="141"/>
      <c r="PNC183" s="141"/>
      <c r="PND183" s="141"/>
      <c r="PNE183" s="141"/>
      <c r="PNF183" s="141"/>
      <c r="PNG183" s="141"/>
      <c r="PNH183" s="141"/>
      <c r="PNI183" s="141"/>
      <c r="PNJ183" s="141"/>
      <c r="PNK183" s="141"/>
      <c r="PNL183" s="141"/>
      <c r="PNM183" s="141"/>
      <c r="PNN183" s="141"/>
      <c r="PNO183" s="141"/>
      <c r="PNP183" s="141"/>
      <c r="PNQ183" s="141"/>
      <c r="PNR183" s="141"/>
      <c r="PNS183" s="141"/>
      <c r="PNT183" s="141"/>
      <c r="PNU183" s="141"/>
      <c r="PNV183" s="141"/>
      <c r="PNW183" s="141"/>
      <c r="PNX183" s="141"/>
      <c r="PNY183" s="141"/>
      <c r="PNZ183" s="141"/>
      <c r="POA183" s="141"/>
      <c r="POB183" s="141"/>
      <c r="POC183" s="141"/>
      <c r="POD183" s="141"/>
      <c r="POE183" s="141"/>
      <c r="POF183" s="141"/>
      <c r="POG183" s="141"/>
      <c r="POH183" s="141"/>
      <c r="POI183" s="141"/>
      <c r="POJ183" s="141"/>
      <c r="POK183" s="141"/>
      <c r="POL183" s="141"/>
      <c r="POM183" s="141"/>
      <c r="PON183" s="141"/>
      <c r="POO183" s="141"/>
      <c r="POP183" s="141"/>
      <c r="POQ183" s="141"/>
      <c r="POR183" s="141"/>
      <c r="POS183" s="141"/>
      <c r="POT183" s="141"/>
      <c r="POU183" s="141"/>
      <c r="POV183" s="141"/>
      <c r="POW183" s="141"/>
      <c r="POX183" s="141"/>
      <c r="POY183" s="141"/>
      <c r="POZ183" s="141"/>
      <c r="PPA183" s="141"/>
      <c r="PPB183" s="141"/>
      <c r="PPC183" s="141"/>
      <c r="PPD183" s="141"/>
      <c r="PPE183" s="141"/>
      <c r="PPF183" s="141"/>
      <c r="PPG183" s="141"/>
      <c r="PPH183" s="141"/>
      <c r="PPI183" s="141"/>
      <c r="PPJ183" s="141"/>
      <c r="PPK183" s="141"/>
      <c r="PPL183" s="141"/>
      <c r="PPM183" s="141"/>
      <c r="PPN183" s="141"/>
      <c r="PPO183" s="141"/>
      <c r="PPP183" s="141"/>
      <c r="PPQ183" s="141"/>
      <c r="PPR183" s="141"/>
      <c r="PPS183" s="141"/>
      <c r="PPT183" s="141"/>
      <c r="PPU183" s="141"/>
      <c r="PPV183" s="141"/>
      <c r="PPW183" s="141"/>
      <c r="PPX183" s="141"/>
      <c r="PPY183" s="141"/>
      <c r="PPZ183" s="141"/>
      <c r="PQA183" s="141"/>
      <c r="PQB183" s="141"/>
      <c r="PQC183" s="141"/>
      <c r="PQD183" s="141"/>
      <c r="PQE183" s="141"/>
      <c r="PQF183" s="141"/>
      <c r="PQG183" s="141"/>
      <c r="PQH183" s="141"/>
      <c r="PQI183" s="141"/>
      <c r="PQJ183" s="141"/>
      <c r="PQK183" s="141"/>
      <c r="PQL183" s="141"/>
      <c r="PQM183" s="141"/>
      <c r="PQN183" s="141"/>
      <c r="PQO183" s="141"/>
      <c r="PQP183" s="141"/>
      <c r="PQQ183" s="141"/>
      <c r="PQR183" s="141"/>
      <c r="PQS183" s="141"/>
      <c r="PQT183" s="141"/>
      <c r="PQU183" s="141"/>
      <c r="PQV183" s="141"/>
      <c r="PQW183" s="141"/>
      <c r="PQX183" s="141"/>
      <c r="PQY183" s="141"/>
      <c r="PQZ183" s="141"/>
      <c r="PRA183" s="141"/>
      <c r="PRB183" s="141"/>
      <c r="PRC183" s="141"/>
      <c r="PRD183" s="141"/>
      <c r="PRE183" s="141"/>
      <c r="PRF183" s="141"/>
      <c r="PRG183" s="141"/>
      <c r="PRH183" s="141"/>
      <c r="PRI183" s="141"/>
      <c r="PRJ183" s="141"/>
      <c r="PRK183" s="141"/>
      <c r="PRL183" s="141"/>
      <c r="PRM183" s="141"/>
      <c r="PRN183" s="141"/>
      <c r="PRO183" s="141"/>
      <c r="PRP183" s="141"/>
      <c r="PRQ183" s="141"/>
      <c r="PRR183" s="141"/>
      <c r="PRS183" s="141"/>
      <c r="PRT183" s="141"/>
      <c r="PRU183" s="141"/>
      <c r="PRV183" s="141"/>
      <c r="PRW183" s="141"/>
      <c r="PRX183" s="141"/>
      <c r="PRY183" s="141"/>
      <c r="PRZ183" s="141"/>
      <c r="PSA183" s="141"/>
      <c r="PSB183" s="141"/>
      <c r="PSC183" s="141"/>
      <c r="PSD183" s="141"/>
      <c r="PSE183" s="141"/>
      <c r="PSF183" s="141"/>
      <c r="PSG183" s="141"/>
      <c r="PSH183" s="141"/>
      <c r="PSI183" s="141"/>
      <c r="PSJ183" s="141"/>
      <c r="PSK183" s="141"/>
      <c r="PSL183" s="141"/>
      <c r="PSM183" s="141"/>
      <c r="PSN183" s="141"/>
      <c r="PSO183" s="141"/>
      <c r="PSP183" s="141"/>
      <c r="PSQ183" s="141"/>
      <c r="PSR183" s="141"/>
      <c r="PSS183" s="141"/>
      <c r="PST183" s="141"/>
      <c r="PSU183" s="141"/>
      <c r="PSV183" s="141"/>
      <c r="PSW183" s="141"/>
      <c r="PSX183" s="141"/>
      <c r="PSY183" s="141"/>
      <c r="PSZ183" s="141"/>
      <c r="PTA183" s="141"/>
      <c r="PTB183" s="141"/>
      <c r="PTC183" s="141"/>
      <c r="PTD183" s="141"/>
      <c r="PTE183" s="141"/>
      <c r="PTF183" s="141"/>
      <c r="PTG183" s="141"/>
      <c r="PTH183" s="141"/>
      <c r="PTI183" s="141"/>
      <c r="PTJ183" s="141"/>
      <c r="PTK183" s="141"/>
      <c r="PTL183" s="141"/>
      <c r="PTM183" s="141"/>
      <c r="PTN183" s="141"/>
      <c r="PTO183" s="141"/>
      <c r="PTP183" s="141"/>
      <c r="PTQ183" s="141"/>
      <c r="PTR183" s="141"/>
      <c r="PTS183" s="141"/>
      <c r="PTT183" s="141"/>
      <c r="PTU183" s="141"/>
      <c r="PTV183" s="141"/>
      <c r="PTW183" s="141"/>
      <c r="PTX183" s="141"/>
      <c r="PTY183" s="141"/>
      <c r="PTZ183" s="141"/>
      <c r="PUA183" s="141"/>
      <c r="PUB183" s="141"/>
      <c r="PUC183" s="141"/>
      <c r="PUD183" s="141"/>
      <c r="PUE183" s="141"/>
      <c r="PUF183" s="141"/>
      <c r="PUG183" s="141"/>
      <c r="PUH183" s="141"/>
      <c r="PUI183" s="141"/>
      <c r="PUJ183" s="141"/>
      <c r="PUK183" s="141"/>
      <c r="PUL183" s="141"/>
      <c r="PUM183" s="141"/>
      <c r="PUN183" s="141"/>
      <c r="PUO183" s="141"/>
      <c r="PUP183" s="141"/>
      <c r="PUQ183" s="141"/>
      <c r="PUR183" s="141"/>
      <c r="PUS183" s="141"/>
      <c r="PUT183" s="141"/>
      <c r="PUU183" s="141"/>
      <c r="PUV183" s="141"/>
      <c r="PUW183" s="141"/>
      <c r="PUX183" s="141"/>
      <c r="PUY183" s="141"/>
      <c r="PUZ183" s="141"/>
      <c r="PVA183" s="141"/>
      <c r="PVB183" s="141"/>
      <c r="PVC183" s="141"/>
      <c r="PVD183" s="141"/>
      <c r="PVE183" s="141"/>
      <c r="PVF183" s="141"/>
      <c r="PVG183" s="141"/>
      <c r="PVH183" s="141"/>
      <c r="PVI183" s="141"/>
      <c r="PVJ183" s="141"/>
      <c r="PVK183" s="141"/>
      <c r="PVL183" s="141"/>
      <c r="PVM183" s="141"/>
      <c r="PVN183" s="141"/>
      <c r="PVO183" s="141"/>
      <c r="PVP183" s="141"/>
      <c r="PVQ183" s="141"/>
      <c r="PVR183" s="141"/>
      <c r="PVS183" s="141"/>
      <c r="PVT183" s="141"/>
      <c r="PVU183" s="141"/>
      <c r="PVV183" s="141"/>
      <c r="PVW183" s="141"/>
      <c r="PVX183" s="141"/>
      <c r="PVY183" s="141"/>
      <c r="PVZ183" s="141"/>
      <c r="PWA183" s="141"/>
      <c r="PWB183" s="141"/>
      <c r="PWC183" s="141"/>
      <c r="PWD183" s="141"/>
      <c r="PWE183" s="141"/>
      <c r="PWF183" s="141"/>
      <c r="PWG183" s="141"/>
      <c r="PWH183" s="141"/>
      <c r="PWI183" s="141"/>
      <c r="PWJ183" s="141"/>
      <c r="PWK183" s="141"/>
      <c r="PWL183" s="141"/>
      <c r="PWM183" s="141"/>
      <c r="PWN183" s="141"/>
      <c r="PWO183" s="141"/>
      <c r="PWP183" s="141"/>
      <c r="PWQ183" s="141"/>
      <c r="PWR183" s="141"/>
      <c r="PWS183" s="141"/>
      <c r="PWT183" s="141"/>
      <c r="PWU183" s="141"/>
      <c r="PWV183" s="141"/>
      <c r="PWW183" s="141"/>
      <c r="PWX183" s="141"/>
      <c r="PWY183" s="141"/>
      <c r="PWZ183" s="141"/>
      <c r="PXA183" s="141"/>
      <c r="PXB183" s="141"/>
      <c r="PXC183" s="141"/>
      <c r="PXD183" s="141"/>
      <c r="PXE183" s="141"/>
      <c r="PXF183" s="141"/>
      <c r="PXG183" s="141"/>
      <c r="PXH183" s="141"/>
      <c r="PXI183" s="141"/>
      <c r="PXJ183" s="141"/>
      <c r="PXK183" s="141"/>
      <c r="PXL183" s="141"/>
      <c r="PXM183" s="141"/>
      <c r="PXN183" s="141"/>
      <c r="PXO183" s="141"/>
      <c r="PXP183" s="141"/>
      <c r="PXQ183" s="141"/>
      <c r="PXR183" s="141"/>
      <c r="PXS183" s="141"/>
      <c r="PXT183" s="141"/>
      <c r="PXU183" s="141"/>
      <c r="PXV183" s="141"/>
      <c r="PXW183" s="141"/>
      <c r="PXX183" s="141"/>
      <c r="PXY183" s="141"/>
      <c r="PXZ183" s="141"/>
      <c r="PYA183" s="141"/>
      <c r="PYB183" s="141"/>
      <c r="PYC183" s="141"/>
      <c r="PYD183" s="141"/>
      <c r="PYE183" s="141"/>
      <c r="PYF183" s="141"/>
      <c r="PYG183" s="141"/>
      <c r="PYH183" s="141"/>
      <c r="PYI183" s="141"/>
      <c r="PYJ183" s="141"/>
      <c r="PYK183" s="141"/>
      <c r="PYL183" s="141"/>
      <c r="PYM183" s="141"/>
      <c r="PYN183" s="141"/>
      <c r="PYO183" s="141"/>
      <c r="PYP183" s="141"/>
      <c r="PYQ183" s="141"/>
      <c r="PYR183" s="141"/>
      <c r="PYS183" s="141"/>
      <c r="PYT183" s="141"/>
      <c r="PYU183" s="141"/>
      <c r="PYV183" s="141"/>
      <c r="PYW183" s="141"/>
      <c r="PYX183" s="141"/>
      <c r="PYY183" s="141"/>
      <c r="PYZ183" s="141"/>
      <c r="PZA183" s="141"/>
      <c r="PZB183" s="141"/>
      <c r="PZC183" s="141"/>
      <c r="PZD183" s="141"/>
      <c r="PZE183" s="141"/>
      <c r="PZF183" s="141"/>
      <c r="PZG183" s="141"/>
      <c r="PZH183" s="141"/>
      <c r="PZI183" s="141"/>
      <c r="PZJ183" s="141"/>
      <c r="PZK183" s="141"/>
      <c r="PZL183" s="141"/>
      <c r="PZM183" s="141"/>
      <c r="PZN183" s="141"/>
      <c r="PZO183" s="141"/>
      <c r="PZP183" s="141"/>
      <c r="PZQ183" s="141"/>
      <c r="PZR183" s="141"/>
      <c r="PZS183" s="141"/>
      <c r="PZT183" s="141"/>
      <c r="PZU183" s="141"/>
      <c r="PZV183" s="141"/>
      <c r="PZW183" s="141"/>
      <c r="PZX183" s="141"/>
      <c r="PZY183" s="141"/>
      <c r="PZZ183" s="141"/>
      <c r="QAA183" s="141"/>
      <c r="QAB183" s="141"/>
      <c r="QAC183" s="141"/>
      <c r="QAD183" s="141"/>
      <c r="QAE183" s="141"/>
      <c r="QAF183" s="141"/>
      <c r="QAG183" s="141"/>
      <c r="QAH183" s="141"/>
      <c r="QAI183" s="141"/>
      <c r="QAJ183" s="141"/>
      <c r="QAK183" s="141"/>
      <c r="QAL183" s="141"/>
      <c r="QAM183" s="141"/>
      <c r="QAN183" s="141"/>
      <c r="QAO183" s="141"/>
      <c r="QAP183" s="141"/>
      <c r="QAQ183" s="141"/>
      <c r="QAR183" s="141"/>
      <c r="QAS183" s="141"/>
      <c r="QAT183" s="141"/>
      <c r="QAU183" s="141"/>
      <c r="QAV183" s="141"/>
      <c r="QAW183" s="141"/>
      <c r="QAX183" s="141"/>
      <c r="QAY183" s="141"/>
      <c r="QAZ183" s="141"/>
      <c r="QBA183" s="141"/>
      <c r="QBB183" s="141"/>
      <c r="QBC183" s="141"/>
      <c r="QBD183" s="141"/>
      <c r="QBE183" s="141"/>
      <c r="QBF183" s="141"/>
      <c r="QBG183" s="141"/>
      <c r="QBH183" s="141"/>
      <c r="QBI183" s="141"/>
      <c r="QBJ183" s="141"/>
      <c r="QBK183" s="141"/>
      <c r="QBL183" s="141"/>
      <c r="QBM183" s="141"/>
      <c r="QBN183" s="141"/>
      <c r="QBO183" s="141"/>
      <c r="QBP183" s="141"/>
      <c r="QBQ183" s="141"/>
      <c r="QBR183" s="141"/>
      <c r="QBS183" s="141"/>
      <c r="QBT183" s="141"/>
      <c r="QBU183" s="141"/>
      <c r="QBV183" s="141"/>
      <c r="QBW183" s="141"/>
      <c r="QBX183" s="141"/>
      <c r="QBY183" s="141"/>
      <c r="QBZ183" s="141"/>
      <c r="QCA183" s="141"/>
      <c r="QCB183" s="141"/>
      <c r="QCC183" s="141"/>
      <c r="QCD183" s="141"/>
      <c r="QCE183" s="141"/>
      <c r="QCF183" s="141"/>
      <c r="QCG183" s="141"/>
      <c r="QCH183" s="141"/>
      <c r="QCI183" s="141"/>
      <c r="QCJ183" s="141"/>
      <c r="QCK183" s="141"/>
      <c r="QCL183" s="141"/>
      <c r="QCM183" s="141"/>
      <c r="QCN183" s="141"/>
      <c r="QCO183" s="141"/>
      <c r="QCP183" s="141"/>
      <c r="QCQ183" s="141"/>
      <c r="QCR183" s="141"/>
      <c r="QCS183" s="141"/>
      <c r="QCT183" s="141"/>
      <c r="QCU183" s="141"/>
      <c r="QCV183" s="141"/>
      <c r="QCW183" s="141"/>
      <c r="QCX183" s="141"/>
      <c r="QCY183" s="141"/>
      <c r="QCZ183" s="141"/>
      <c r="QDA183" s="141"/>
      <c r="QDB183" s="141"/>
      <c r="QDC183" s="141"/>
      <c r="QDD183" s="141"/>
      <c r="QDE183" s="141"/>
      <c r="QDF183" s="141"/>
      <c r="QDG183" s="141"/>
      <c r="QDH183" s="141"/>
      <c r="QDI183" s="141"/>
      <c r="QDJ183" s="141"/>
      <c r="QDK183" s="141"/>
      <c r="QDL183" s="141"/>
      <c r="QDM183" s="141"/>
      <c r="QDN183" s="141"/>
      <c r="QDO183" s="141"/>
      <c r="QDP183" s="141"/>
      <c r="QDQ183" s="141"/>
      <c r="QDR183" s="141"/>
      <c r="QDS183" s="141"/>
      <c r="QDT183" s="141"/>
      <c r="QDU183" s="141"/>
      <c r="QDV183" s="141"/>
      <c r="QDW183" s="141"/>
      <c r="QDX183" s="141"/>
      <c r="QDY183" s="141"/>
      <c r="QDZ183" s="141"/>
      <c r="QEA183" s="141"/>
      <c r="QEB183" s="141"/>
      <c r="QEC183" s="141"/>
      <c r="QED183" s="141"/>
      <c r="QEE183" s="141"/>
      <c r="QEF183" s="141"/>
      <c r="QEG183" s="141"/>
      <c r="QEH183" s="141"/>
      <c r="QEI183" s="141"/>
      <c r="QEJ183" s="141"/>
      <c r="QEK183" s="141"/>
      <c r="QEL183" s="141"/>
      <c r="QEM183" s="141"/>
      <c r="QEN183" s="141"/>
      <c r="QEO183" s="141"/>
      <c r="QEP183" s="141"/>
      <c r="QEQ183" s="141"/>
      <c r="QER183" s="141"/>
      <c r="QES183" s="141"/>
      <c r="QET183" s="141"/>
      <c r="QEU183" s="141"/>
      <c r="QEV183" s="141"/>
      <c r="QEW183" s="141"/>
      <c r="QEX183" s="141"/>
      <c r="QEY183" s="141"/>
      <c r="QEZ183" s="141"/>
      <c r="QFA183" s="141"/>
      <c r="QFB183" s="141"/>
      <c r="QFC183" s="141"/>
      <c r="QFD183" s="141"/>
      <c r="QFE183" s="141"/>
      <c r="QFF183" s="141"/>
      <c r="QFG183" s="141"/>
      <c r="QFH183" s="141"/>
      <c r="QFI183" s="141"/>
      <c r="QFJ183" s="141"/>
      <c r="QFK183" s="141"/>
      <c r="QFL183" s="141"/>
      <c r="QFM183" s="141"/>
      <c r="QFN183" s="141"/>
      <c r="QFO183" s="141"/>
      <c r="QFP183" s="141"/>
      <c r="QFQ183" s="141"/>
      <c r="QFR183" s="141"/>
      <c r="QFS183" s="141"/>
      <c r="QFT183" s="141"/>
      <c r="QFU183" s="141"/>
      <c r="QFV183" s="141"/>
      <c r="QFW183" s="141"/>
      <c r="QFX183" s="141"/>
      <c r="QFY183" s="141"/>
      <c r="QFZ183" s="141"/>
      <c r="QGA183" s="141"/>
      <c r="QGB183" s="141"/>
      <c r="QGC183" s="141"/>
      <c r="QGD183" s="141"/>
      <c r="QGE183" s="141"/>
      <c r="QGF183" s="141"/>
      <c r="QGG183" s="141"/>
      <c r="QGH183" s="141"/>
      <c r="QGI183" s="141"/>
      <c r="QGJ183" s="141"/>
      <c r="QGK183" s="141"/>
      <c r="QGL183" s="141"/>
      <c r="QGM183" s="141"/>
      <c r="QGN183" s="141"/>
      <c r="QGO183" s="141"/>
      <c r="QGP183" s="141"/>
      <c r="QGQ183" s="141"/>
      <c r="QGR183" s="141"/>
      <c r="QGS183" s="141"/>
      <c r="QGT183" s="141"/>
      <c r="QGU183" s="141"/>
      <c r="QGV183" s="141"/>
      <c r="QGW183" s="141"/>
      <c r="QGX183" s="141"/>
      <c r="QGY183" s="141"/>
      <c r="QGZ183" s="141"/>
      <c r="QHA183" s="141"/>
      <c r="QHB183" s="141"/>
      <c r="QHC183" s="141"/>
      <c r="QHD183" s="141"/>
      <c r="QHE183" s="141"/>
      <c r="QHF183" s="141"/>
      <c r="QHG183" s="141"/>
      <c r="QHH183" s="141"/>
      <c r="QHI183" s="141"/>
      <c r="QHJ183" s="141"/>
      <c r="QHK183" s="141"/>
      <c r="QHL183" s="141"/>
      <c r="QHM183" s="141"/>
      <c r="QHN183" s="141"/>
      <c r="QHO183" s="141"/>
      <c r="QHP183" s="141"/>
      <c r="QHQ183" s="141"/>
      <c r="QHR183" s="141"/>
      <c r="QHS183" s="141"/>
      <c r="QHT183" s="141"/>
      <c r="QHU183" s="141"/>
      <c r="QHV183" s="141"/>
      <c r="QHW183" s="141"/>
      <c r="QHX183" s="141"/>
      <c r="QHY183" s="141"/>
      <c r="QHZ183" s="141"/>
      <c r="QIA183" s="141"/>
      <c r="QIB183" s="141"/>
      <c r="QIC183" s="141"/>
      <c r="QID183" s="141"/>
      <c r="QIE183" s="141"/>
      <c r="QIF183" s="141"/>
      <c r="QIG183" s="141"/>
      <c r="QIH183" s="141"/>
      <c r="QII183" s="141"/>
      <c r="QIJ183" s="141"/>
      <c r="QIK183" s="141"/>
      <c r="QIL183" s="141"/>
      <c r="QIM183" s="141"/>
      <c r="QIN183" s="141"/>
      <c r="QIO183" s="141"/>
      <c r="QIP183" s="141"/>
      <c r="QIQ183" s="141"/>
      <c r="QIR183" s="141"/>
      <c r="QIS183" s="141"/>
      <c r="QIT183" s="141"/>
      <c r="QIU183" s="141"/>
      <c r="QIV183" s="141"/>
      <c r="QIW183" s="141"/>
      <c r="QIX183" s="141"/>
      <c r="QIY183" s="141"/>
      <c r="QIZ183" s="141"/>
      <c r="QJA183" s="141"/>
      <c r="QJB183" s="141"/>
      <c r="QJC183" s="141"/>
      <c r="QJD183" s="141"/>
      <c r="QJE183" s="141"/>
      <c r="QJF183" s="141"/>
      <c r="QJG183" s="141"/>
      <c r="QJH183" s="141"/>
      <c r="QJI183" s="141"/>
      <c r="QJJ183" s="141"/>
      <c r="QJK183" s="141"/>
      <c r="QJL183" s="141"/>
      <c r="QJM183" s="141"/>
      <c r="QJN183" s="141"/>
      <c r="QJO183" s="141"/>
      <c r="QJP183" s="141"/>
      <c r="QJQ183" s="141"/>
      <c r="QJR183" s="141"/>
      <c r="QJS183" s="141"/>
      <c r="QJT183" s="141"/>
      <c r="QJU183" s="141"/>
      <c r="QJV183" s="141"/>
      <c r="QJW183" s="141"/>
      <c r="QJX183" s="141"/>
      <c r="QJY183" s="141"/>
      <c r="QJZ183" s="141"/>
      <c r="QKA183" s="141"/>
      <c r="QKB183" s="141"/>
      <c r="QKC183" s="141"/>
      <c r="QKD183" s="141"/>
      <c r="QKE183" s="141"/>
      <c r="QKF183" s="141"/>
      <c r="QKG183" s="141"/>
      <c r="QKH183" s="141"/>
      <c r="QKI183" s="141"/>
      <c r="QKJ183" s="141"/>
      <c r="QKK183" s="141"/>
      <c r="QKL183" s="141"/>
      <c r="QKM183" s="141"/>
      <c r="QKN183" s="141"/>
      <c r="QKO183" s="141"/>
      <c r="QKP183" s="141"/>
      <c r="QKQ183" s="141"/>
      <c r="QKR183" s="141"/>
      <c r="QKS183" s="141"/>
      <c r="QKT183" s="141"/>
      <c r="QKU183" s="141"/>
      <c r="QKV183" s="141"/>
      <c r="QKW183" s="141"/>
      <c r="QKX183" s="141"/>
      <c r="QKY183" s="141"/>
      <c r="QKZ183" s="141"/>
      <c r="QLA183" s="141"/>
      <c r="QLB183" s="141"/>
      <c r="QLC183" s="141"/>
      <c r="QLD183" s="141"/>
      <c r="QLE183" s="141"/>
      <c r="QLF183" s="141"/>
      <c r="QLG183" s="141"/>
      <c r="QLH183" s="141"/>
      <c r="QLI183" s="141"/>
      <c r="QLJ183" s="141"/>
      <c r="QLK183" s="141"/>
      <c r="QLL183" s="141"/>
      <c r="QLM183" s="141"/>
      <c r="QLN183" s="141"/>
      <c r="QLO183" s="141"/>
      <c r="QLP183" s="141"/>
      <c r="QLQ183" s="141"/>
      <c r="QLR183" s="141"/>
      <c r="QLS183" s="141"/>
      <c r="QLT183" s="141"/>
      <c r="QLU183" s="141"/>
      <c r="QLV183" s="141"/>
      <c r="QLW183" s="141"/>
      <c r="QLX183" s="141"/>
      <c r="QLY183" s="141"/>
      <c r="QLZ183" s="141"/>
      <c r="QMA183" s="141"/>
      <c r="QMB183" s="141"/>
      <c r="QMC183" s="141"/>
      <c r="QMD183" s="141"/>
      <c r="QME183" s="141"/>
      <c r="QMF183" s="141"/>
      <c r="QMG183" s="141"/>
      <c r="QMH183" s="141"/>
      <c r="QMI183" s="141"/>
      <c r="QMJ183" s="141"/>
      <c r="QMK183" s="141"/>
      <c r="QML183" s="141"/>
      <c r="QMM183" s="141"/>
      <c r="QMN183" s="141"/>
      <c r="QMO183" s="141"/>
      <c r="QMP183" s="141"/>
      <c r="QMQ183" s="141"/>
      <c r="QMR183" s="141"/>
      <c r="QMS183" s="141"/>
      <c r="QMT183" s="141"/>
      <c r="QMU183" s="141"/>
      <c r="QMV183" s="141"/>
      <c r="QMW183" s="141"/>
      <c r="QMX183" s="141"/>
      <c r="QMY183" s="141"/>
      <c r="QMZ183" s="141"/>
      <c r="QNA183" s="141"/>
      <c r="QNB183" s="141"/>
      <c r="QNC183" s="141"/>
      <c r="QND183" s="141"/>
      <c r="QNE183" s="141"/>
      <c r="QNF183" s="141"/>
      <c r="QNG183" s="141"/>
      <c r="QNH183" s="141"/>
      <c r="QNI183" s="141"/>
      <c r="QNJ183" s="141"/>
      <c r="QNK183" s="141"/>
      <c r="QNL183" s="141"/>
      <c r="QNM183" s="141"/>
      <c r="QNN183" s="141"/>
      <c r="QNO183" s="141"/>
      <c r="QNP183" s="141"/>
      <c r="QNQ183" s="141"/>
      <c r="QNR183" s="141"/>
      <c r="QNS183" s="141"/>
      <c r="QNT183" s="141"/>
      <c r="QNU183" s="141"/>
      <c r="QNV183" s="141"/>
      <c r="QNW183" s="141"/>
      <c r="QNX183" s="141"/>
      <c r="QNY183" s="141"/>
      <c r="QNZ183" s="141"/>
      <c r="QOA183" s="141"/>
      <c r="QOB183" s="141"/>
      <c r="QOC183" s="141"/>
      <c r="QOD183" s="141"/>
      <c r="QOE183" s="141"/>
      <c r="QOF183" s="141"/>
      <c r="QOG183" s="141"/>
      <c r="QOH183" s="141"/>
      <c r="QOI183" s="141"/>
      <c r="QOJ183" s="141"/>
      <c r="QOK183" s="141"/>
      <c r="QOL183" s="141"/>
      <c r="QOM183" s="141"/>
      <c r="QON183" s="141"/>
      <c r="QOO183" s="141"/>
      <c r="QOP183" s="141"/>
      <c r="QOQ183" s="141"/>
      <c r="QOR183" s="141"/>
      <c r="QOS183" s="141"/>
      <c r="QOT183" s="141"/>
      <c r="QOU183" s="141"/>
      <c r="QOV183" s="141"/>
      <c r="QOW183" s="141"/>
      <c r="QOX183" s="141"/>
      <c r="QOY183" s="141"/>
      <c r="QOZ183" s="141"/>
      <c r="QPA183" s="141"/>
      <c r="QPB183" s="141"/>
      <c r="QPC183" s="141"/>
      <c r="QPD183" s="141"/>
      <c r="QPE183" s="141"/>
      <c r="QPF183" s="141"/>
      <c r="QPG183" s="141"/>
      <c r="QPH183" s="141"/>
      <c r="QPI183" s="141"/>
      <c r="QPJ183" s="141"/>
      <c r="QPK183" s="141"/>
      <c r="QPL183" s="141"/>
      <c r="QPM183" s="141"/>
      <c r="QPN183" s="141"/>
      <c r="QPO183" s="141"/>
      <c r="QPP183" s="141"/>
      <c r="QPQ183" s="141"/>
      <c r="QPR183" s="141"/>
      <c r="QPS183" s="141"/>
      <c r="QPT183" s="141"/>
      <c r="QPU183" s="141"/>
      <c r="QPV183" s="141"/>
      <c r="QPW183" s="141"/>
      <c r="QPX183" s="141"/>
      <c r="QPY183" s="141"/>
      <c r="QPZ183" s="141"/>
      <c r="QQA183" s="141"/>
      <c r="QQB183" s="141"/>
      <c r="QQC183" s="141"/>
      <c r="QQD183" s="141"/>
      <c r="QQE183" s="141"/>
      <c r="QQF183" s="141"/>
      <c r="QQG183" s="141"/>
      <c r="QQH183" s="141"/>
      <c r="QQI183" s="141"/>
      <c r="QQJ183" s="141"/>
      <c r="QQK183" s="141"/>
      <c r="QQL183" s="141"/>
      <c r="QQM183" s="141"/>
      <c r="QQN183" s="141"/>
      <c r="QQO183" s="141"/>
      <c r="QQP183" s="141"/>
      <c r="QQQ183" s="141"/>
      <c r="QQR183" s="141"/>
      <c r="QQS183" s="141"/>
      <c r="QQT183" s="141"/>
      <c r="QQU183" s="141"/>
      <c r="QQV183" s="141"/>
      <c r="QQW183" s="141"/>
      <c r="QQX183" s="141"/>
      <c r="QQY183" s="141"/>
      <c r="QQZ183" s="141"/>
      <c r="QRA183" s="141"/>
      <c r="QRB183" s="141"/>
      <c r="QRC183" s="141"/>
      <c r="QRD183" s="141"/>
      <c r="QRE183" s="141"/>
      <c r="QRF183" s="141"/>
      <c r="QRG183" s="141"/>
      <c r="QRH183" s="141"/>
      <c r="QRI183" s="141"/>
      <c r="QRJ183" s="141"/>
      <c r="QRK183" s="141"/>
      <c r="QRL183" s="141"/>
      <c r="QRM183" s="141"/>
      <c r="QRN183" s="141"/>
      <c r="QRO183" s="141"/>
      <c r="QRP183" s="141"/>
      <c r="QRQ183" s="141"/>
      <c r="QRR183" s="141"/>
      <c r="QRS183" s="141"/>
      <c r="QRT183" s="141"/>
      <c r="QRU183" s="141"/>
      <c r="QRV183" s="141"/>
      <c r="QRW183" s="141"/>
      <c r="QRX183" s="141"/>
      <c r="QRY183" s="141"/>
      <c r="QRZ183" s="141"/>
      <c r="QSA183" s="141"/>
      <c r="QSB183" s="141"/>
      <c r="QSC183" s="141"/>
      <c r="QSD183" s="141"/>
      <c r="QSE183" s="141"/>
      <c r="QSF183" s="141"/>
      <c r="QSG183" s="141"/>
      <c r="QSH183" s="141"/>
      <c r="QSI183" s="141"/>
      <c r="QSJ183" s="141"/>
      <c r="QSK183" s="141"/>
      <c r="QSL183" s="141"/>
      <c r="QSM183" s="141"/>
      <c r="QSN183" s="141"/>
      <c r="QSO183" s="141"/>
      <c r="QSP183" s="141"/>
      <c r="QSQ183" s="141"/>
      <c r="QSR183" s="141"/>
      <c r="QSS183" s="141"/>
      <c r="QST183" s="141"/>
      <c r="QSU183" s="141"/>
      <c r="QSV183" s="141"/>
      <c r="QSW183" s="141"/>
      <c r="QSX183" s="141"/>
      <c r="QSY183" s="141"/>
      <c r="QSZ183" s="141"/>
      <c r="QTA183" s="141"/>
      <c r="QTB183" s="141"/>
      <c r="QTC183" s="141"/>
      <c r="QTD183" s="141"/>
      <c r="QTE183" s="141"/>
      <c r="QTF183" s="141"/>
      <c r="QTG183" s="141"/>
      <c r="QTH183" s="141"/>
      <c r="QTI183" s="141"/>
      <c r="QTJ183" s="141"/>
      <c r="QTK183" s="141"/>
      <c r="QTL183" s="141"/>
      <c r="QTM183" s="141"/>
      <c r="QTN183" s="141"/>
      <c r="QTO183" s="141"/>
      <c r="QTP183" s="141"/>
      <c r="QTQ183" s="141"/>
      <c r="QTR183" s="141"/>
      <c r="QTS183" s="141"/>
      <c r="QTT183" s="141"/>
      <c r="QTU183" s="141"/>
      <c r="QTV183" s="141"/>
      <c r="QTW183" s="141"/>
      <c r="QTX183" s="141"/>
      <c r="QTY183" s="141"/>
      <c r="QTZ183" s="141"/>
      <c r="QUA183" s="141"/>
      <c r="QUB183" s="141"/>
      <c r="QUC183" s="141"/>
      <c r="QUD183" s="141"/>
      <c r="QUE183" s="141"/>
      <c r="QUF183" s="141"/>
      <c r="QUG183" s="141"/>
      <c r="QUH183" s="141"/>
      <c r="QUI183" s="141"/>
      <c r="QUJ183" s="141"/>
      <c r="QUK183" s="141"/>
      <c r="QUL183" s="141"/>
      <c r="QUM183" s="141"/>
      <c r="QUN183" s="141"/>
      <c r="QUO183" s="141"/>
      <c r="QUP183" s="141"/>
      <c r="QUQ183" s="141"/>
      <c r="QUR183" s="141"/>
      <c r="QUS183" s="141"/>
      <c r="QUT183" s="141"/>
      <c r="QUU183" s="141"/>
      <c r="QUV183" s="141"/>
      <c r="QUW183" s="141"/>
      <c r="QUX183" s="141"/>
      <c r="QUY183" s="141"/>
      <c r="QUZ183" s="141"/>
      <c r="QVA183" s="141"/>
      <c r="QVB183" s="141"/>
      <c r="QVC183" s="141"/>
      <c r="QVD183" s="141"/>
      <c r="QVE183" s="141"/>
      <c r="QVF183" s="141"/>
      <c r="QVG183" s="141"/>
      <c r="QVH183" s="141"/>
      <c r="QVI183" s="141"/>
      <c r="QVJ183" s="141"/>
      <c r="QVK183" s="141"/>
      <c r="QVL183" s="141"/>
      <c r="QVM183" s="141"/>
      <c r="QVN183" s="141"/>
      <c r="QVO183" s="141"/>
      <c r="QVP183" s="141"/>
      <c r="QVQ183" s="141"/>
      <c r="QVR183" s="141"/>
      <c r="QVS183" s="141"/>
      <c r="QVT183" s="141"/>
      <c r="QVU183" s="141"/>
      <c r="QVV183" s="141"/>
      <c r="QVW183" s="141"/>
      <c r="QVX183" s="141"/>
      <c r="QVY183" s="141"/>
      <c r="QVZ183" s="141"/>
      <c r="QWA183" s="141"/>
      <c r="QWB183" s="141"/>
      <c r="QWC183" s="141"/>
      <c r="QWD183" s="141"/>
      <c r="QWE183" s="141"/>
      <c r="QWF183" s="141"/>
      <c r="QWG183" s="141"/>
      <c r="QWH183" s="141"/>
      <c r="QWI183" s="141"/>
      <c r="QWJ183" s="141"/>
      <c r="QWK183" s="141"/>
      <c r="QWL183" s="141"/>
      <c r="QWM183" s="141"/>
      <c r="QWN183" s="141"/>
      <c r="QWO183" s="141"/>
      <c r="QWP183" s="141"/>
      <c r="QWQ183" s="141"/>
      <c r="QWR183" s="141"/>
      <c r="QWS183" s="141"/>
      <c r="QWT183" s="141"/>
      <c r="QWU183" s="141"/>
      <c r="QWV183" s="141"/>
      <c r="QWW183" s="141"/>
      <c r="QWX183" s="141"/>
      <c r="QWY183" s="141"/>
      <c r="QWZ183" s="141"/>
      <c r="QXA183" s="141"/>
      <c r="QXB183" s="141"/>
      <c r="QXC183" s="141"/>
      <c r="QXD183" s="141"/>
      <c r="QXE183" s="141"/>
      <c r="QXF183" s="141"/>
      <c r="QXG183" s="141"/>
      <c r="QXH183" s="141"/>
      <c r="QXI183" s="141"/>
      <c r="QXJ183" s="141"/>
      <c r="QXK183" s="141"/>
      <c r="QXL183" s="141"/>
      <c r="QXM183" s="141"/>
      <c r="QXN183" s="141"/>
      <c r="QXO183" s="141"/>
      <c r="QXP183" s="141"/>
      <c r="QXQ183" s="141"/>
      <c r="QXR183" s="141"/>
      <c r="QXS183" s="141"/>
      <c r="QXT183" s="141"/>
      <c r="QXU183" s="141"/>
      <c r="QXV183" s="141"/>
      <c r="QXW183" s="141"/>
      <c r="QXX183" s="141"/>
      <c r="QXY183" s="141"/>
      <c r="QXZ183" s="141"/>
      <c r="QYA183" s="141"/>
      <c r="QYB183" s="141"/>
      <c r="QYC183" s="141"/>
      <c r="QYD183" s="141"/>
      <c r="QYE183" s="141"/>
      <c r="QYF183" s="141"/>
      <c r="QYG183" s="141"/>
      <c r="QYH183" s="141"/>
      <c r="QYI183" s="141"/>
      <c r="QYJ183" s="141"/>
      <c r="QYK183" s="141"/>
      <c r="QYL183" s="141"/>
      <c r="QYM183" s="141"/>
      <c r="QYN183" s="141"/>
      <c r="QYO183" s="141"/>
      <c r="QYP183" s="141"/>
      <c r="QYQ183" s="141"/>
      <c r="QYR183" s="141"/>
      <c r="QYS183" s="141"/>
      <c r="QYT183" s="141"/>
      <c r="QYU183" s="141"/>
      <c r="QYV183" s="141"/>
      <c r="QYW183" s="141"/>
      <c r="QYX183" s="141"/>
      <c r="QYY183" s="141"/>
      <c r="QYZ183" s="141"/>
      <c r="QZA183" s="141"/>
      <c r="QZB183" s="141"/>
      <c r="QZC183" s="141"/>
      <c r="QZD183" s="141"/>
      <c r="QZE183" s="141"/>
      <c r="QZF183" s="141"/>
      <c r="QZG183" s="141"/>
      <c r="QZH183" s="141"/>
      <c r="QZI183" s="141"/>
      <c r="QZJ183" s="141"/>
      <c r="QZK183" s="141"/>
      <c r="QZL183" s="141"/>
      <c r="QZM183" s="141"/>
      <c r="QZN183" s="141"/>
      <c r="QZO183" s="141"/>
      <c r="QZP183" s="141"/>
      <c r="QZQ183" s="141"/>
      <c r="QZR183" s="141"/>
      <c r="QZS183" s="141"/>
      <c r="QZT183" s="141"/>
      <c r="QZU183" s="141"/>
      <c r="QZV183" s="141"/>
      <c r="QZW183" s="141"/>
      <c r="QZX183" s="141"/>
      <c r="QZY183" s="141"/>
      <c r="QZZ183" s="141"/>
      <c r="RAA183" s="141"/>
      <c r="RAB183" s="141"/>
      <c r="RAC183" s="141"/>
      <c r="RAD183" s="141"/>
      <c r="RAE183" s="141"/>
      <c r="RAF183" s="141"/>
      <c r="RAG183" s="141"/>
      <c r="RAH183" s="141"/>
      <c r="RAI183" s="141"/>
      <c r="RAJ183" s="141"/>
      <c r="RAK183" s="141"/>
      <c r="RAL183" s="141"/>
      <c r="RAM183" s="141"/>
      <c r="RAN183" s="141"/>
      <c r="RAO183" s="141"/>
      <c r="RAP183" s="141"/>
      <c r="RAQ183" s="141"/>
      <c r="RAR183" s="141"/>
      <c r="RAS183" s="141"/>
      <c r="RAT183" s="141"/>
      <c r="RAU183" s="141"/>
      <c r="RAV183" s="141"/>
      <c r="RAW183" s="141"/>
      <c r="RAX183" s="141"/>
      <c r="RAY183" s="141"/>
      <c r="RAZ183" s="141"/>
      <c r="RBA183" s="141"/>
      <c r="RBB183" s="141"/>
      <c r="RBC183" s="141"/>
      <c r="RBD183" s="141"/>
      <c r="RBE183" s="141"/>
      <c r="RBF183" s="141"/>
      <c r="RBG183" s="141"/>
      <c r="RBH183" s="141"/>
      <c r="RBI183" s="141"/>
      <c r="RBJ183" s="141"/>
      <c r="RBK183" s="141"/>
      <c r="RBL183" s="141"/>
      <c r="RBM183" s="141"/>
      <c r="RBN183" s="141"/>
      <c r="RBO183" s="141"/>
      <c r="RBP183" s="141"/>
      <c r="RBQ183" s="141"/>
      <c r="RBR183" s="141"/>
      <c r="RBS183" s="141"/>
      <c r="RBT183" s="141"/>
      <c r="RBU183" s="141"/>
      <c r="RBV183" s="141"/>
      <c r="RBW183" s="141"/>
      <c r="RBX183" s="141"/>
      <c r="RBY183" s="141"/>
      <c r="RBZ183" s="141"/>
      <c r="RCA183" s="141"/>
      <c r="RCB183" s="141"/>
      <c r="RCC183" s="141"/>
      <c r="RCD183" s="141"/>
      <c r="RCE183" s="141"/>
      <c r="RCF183" s="141"/>
      <c r="RCG183" s="141"/>
      <c r="RCH183" s="141"/>
      <c r="RCI183" s="141"/>
      <c r="RCJ183" s="141"/>
      <c r="RCK183" s="141"/>
      <c r="RCL183" s="141"/>
      <c r="RCM183" s="141"/>
      <c r="RCN183" s="141"/>
      <c r="RCO183" s="141"/>
      <c r="RCP183" s="141"/>
      <c r="RCQ183" s="141"/>
      <c r="RCR183" s="141"/>
      <c r="RCS183" s="141"/>
      <c r="RCT183" s="141"/>
      <c r="RCU183" s="141"/>
      <c r="RCV183" s="141"/>
      <c r="RCW183" s="141"/>
      <c r="RCX183" s="141"/>
      <c r="RCY183" s="141"/>
      <c r="RCZ183" s="141"/>
      <c r="RDA183" s="141"/>
      <c r="RDB183" s="141"/>
      <c r="RDC183" s="141"/>
      <c r="RDD183" s="141"/>
      <c r="RDE183" s="141"/>
      <c r="RDF183" s="141"/>
      <c r="RDG183" s="141"/>
      <c r="RDH183" s="141"/>
      <c r="RDI183" s="141"/>
      <c r="RDJ183" s="141"/>
      <c r="RDK183" s="141"/>
      <c r="RDL183" s="141"/>
      <c r="RDM183" s="141"/>
      <c r="RDN183" s="141"/>
      <c r="RDO183" s="141"/>
      <c r="RDP183" s="141"/>
      <c r="RDQ183" s="141"/>
      <c r="RDR183" s="141"/>
      <c r="RDS183" s="141"/>
      <c r="RDT183" s="141"/>
      <c r="RDU183" s="141"/>
      <c r="RDV183" s="141"/>
      <c r="RDW183" s="141"/>
      <c r="RDX183" s="141"/>
      <c r="RDY183" s="141"/>
      <c r="RDZ183" s="141"/>
      <c r="REA183" s="141"/>
      <c r="REB183" s="141"/>
      <c r="REC183" s="141"/>
      <c r="RED183" s="141"/>
      <c r="REE183" s="141"/>
      <c r="REF183" s="141"/>
      <c r="REG183" s="141"/>
      <c r="REH183" s="141"/>
      <c r="REI183" s="141"/>
      <c r="REJ183" s="141"/>
      <c r="REK183" s="141"/>
      <c r="REL183" s="141"/>
      <c r="REM183" s="141"/>
      <c r="REN183" s="141"/>
      <c r="REO183" s="141"/>
      <c r="REP183" s="141"/>
      <c r="REQ183" s="141"/>
      <c r="RER183" s="141"/>
      <c r="RES183" s="141"/>
      <c r="RET183" s="141"/>
      <c r="REU183" s="141"/>
      <c r="REV183" s="141"/>
      <c r="REW183" s="141"/>
      <c r="REX183" s="141"/>
      <c r="REY183" s="141"/>
      <c r="REZ183" s="141"/>
      <c r="RFA183" s="141"/>
      <c r="RFB183" s="141"/>
      <c r="RFC183" s="141"/>
      <c r="RFD183" s="141"/>
      <c r="RFE183" s="141"/>
      <c r="RFF183" s="141"/>
      <c r="RFG183" s="141"/>
      <c r="RFH183" s="141"/>
      <c r="RFI183" s="141"/>
      <c r="RFJ183" s="141"/>
      <c r="RFK183" s="141"/>
      <c r="RFL183" s="141"/>
      <c r="RFM183" s="141"/>
      <c r="RFN183" s="141"/>
      <c r="RFO183" s="141"/>
      <c r="RFP183" s="141"/>
      <c r="RFQ183" s="141"/>
      <c r="RFR183" s="141"/>
      <c r="RFS183" s="141"/>
      <c r="RFT183" s="141"/>
      <c r="RFU183" s="141"/>
      <c r="RFV183" s="141"/>
      <c r="RFW183" s="141"/>
      <c r="RFX183" s="141"/>
      <c r="RFY183" s="141"/>
      <c r="RFZ183" s="141"/>
      <c r="RGA183" s="141"/>
      <c r="RGB183" s="141"/>
      <c r="RGC183" s="141"/>
      <c r="RGD183" s="141"/>
      <c r="RGE183" s="141"/>
      <c r="RGF183" s="141"/>
      <c r="RGG183" s="141"/>
      <c r="RGH183" s="141"/>
      <c r="RGI183" s="141"/>
      <c r="RGJ183" s="141"/>
      <c r="RGK183" s="141"/>
      <c r="RGL183" s="141"/>
      <c r="RGM183" s="141"/>
      <c r="RGN183" s="141"/>
      <c r="RGO183" s="141"/>
      <c r="RGP183" s="141"/>
      <c r="RGQ183" s="141"/>
      <c r="RGR183" s="141"/>
      <c r="RGS183" s="141"/>
      <c r="RGT183" s="141"/>
      <c r="RGU183" s="141"/>
      <c r="RGV183" s="141"/>
      <c r="RGW183" s="141"/>
      <c r="RGX183" s="141"/>
      <c r="RGY183" s="141"/>
      <c r="RGZ183" s="141"/>
      <c r="RHA183" s="141"/>
      <c r="RHB183" s="141"/>
      <c r="RHC183" s="141"/>
      <c r="RHD183" s="141"/>
      <c r="RHE183" s="141"/>
      <c r="RHF183" s="141"/>
      <c r="RHG183" s="141"/>
      <c r="RHH183" s="141"/>
      <c r="RHI183" s="141"/>
      <c r="RHJ183" s="141"/>
      <c r="RHK183" s="141"/>
      <c r="RHL183" s="141"/>
      <c r="RHM183" s="141"/>
      <c r="RHN183" s="141"/>
      <c r="RHO183" s="141"/>
      <c r="RHP183" s="141"/>
      <c r="RHQ183" s="141"/>
      <c r="RHR183" s="141"/>
      <c r="RHS183" s="141"/>
      <c r="RHT183" s="141"/>
      <c r="RHU183" s="141"/>
      <c r="RHV183" s="141"/>
      <c r="RHW183" s="141"/>
      <c r="RHX183" s="141"/>
      <c r="RHY183" s="141"/>
      <c r="RHZ183" s="141"/>
      <c r="RIA183" s="141"/>
      <c r="RIB183" s="141"/>
      <c r="RIC183" s="141"/>
      <c r="RID183" s="141"/>
      <c r="RIE183" s="141"/>
      <c r="RIF183" s="141"/>
      <c r="RIG183" s="141"/>
      <c r="RIH183" s="141"/>
      <c r="RII183" s="141"/>
      <c r="RIJ183" s="141"/>
      <c r="RIK183" s="141"/>
      <c r="RIL183" s="141"/>
      <c r="RIM183" s="141"/>
      <c r="RIN183" s="141"/>
      <c r="RIO183" s="141"/>
      <c r="RIP183" s="141"/>
      <c r="RIQ183" s="141"/>
      <c r="RIR183" s="141"/>
      <c r="RIS183" s="141"/>
      <c r="RIT183" s="141"/>
      <c r="RIU183" s="141"/>
      <c r="RIV183" s="141"/>
      <c r="RIW183" s="141"/>
      <c r="RIX183" s="141"/>
      <c r="RIY183" s="141"/>
      <c r="RIZ183" s="141"/>
      <c r="RJA183" s="141"/>
      <c r="RJB183" s="141"/>
      <c r="RJC183" s="141"/>
      <c r="RJD183" s="141"/>
      <c r="RJE183" s="141"/>
      <c r="RJF183" s="141"/>
      <c r="RJG183" s="141"/>
      <c r="RJH183" s="141"/>
      <c r="RJI183" s="141"/>
      <c r="RJJ183" s="141"/>
      <c r="RJK183" s="141"/>
      <c r="RJL183" s="141"/>
      <c r="RJM183" s="141"/>
      <c r="RJN183" s="141"/>
      <c r="RJO183" s="141"/>
      <c r="RJP183" s="141"/>
      <c r="RJQ183" s="141"/>
      <c r="RJR183" s="141"/>
      <c r="RJS183" s="141"/>
      <c r="RJT183" s="141"/>
      <c r="RJU183" s="141"/>
      <c r="RJV183" s="141"/>
      <c r="RJW183" s="141"/>
      <c r="RJX183" s="141"/>
      <c r="RJY183" s="141"/>
      <c r="RJZ183" s="141"/>
      <c r="RKA183" s="141"/>
      <c r="RKB183" s="141"/>
      <c r="RKC183" s="141"/>
      <c r="RKD183" s="141"/>
      <c r="RKE183" s="141"/>
      <c r="RKF183" s="141"/>
      <c r="RKG183" s="141"/>
      <c r="RKH183" s="141"/>
      <c r="RKI183" s="141"/>
      <c r="RKJ183" s="141"/>
      <c r="RKK183" s="141"/>
      <c r="RKL183" s="141"/>
      <c r="RKM183" s="141"/>
      <c r="RKN183" s="141"/>
      <c r="RKO183" s="141"/>
      <c r="RKP183" s="141"/>
      <c r="RKQ183" s="141"/>
      <c r="RKR183" s="141"/>
      <c r="RKS183" s="141"/>
      <c r="RKT183" s="141"/>
      <c r="RKU183" s="141"/>
      <c r="RKV183" s="141"/>
      <c r="RKW183" s="141"/>
      <c r="RKX183" s="141"/>
      <c r="RKY183" s="141"/>
      <c r="RKZ183" s="141"/>
      <c r="RLA183" s="141"/>
      <c r="RLB183" s="141"/>
      <c r="RLC183" s="141"/>
      <c r="RLD183" s="141"/>
      <c r="RLE183" s="141"/>
      <c r="RLF183" s="141"/>
      <c r="RLG183" s="141"/>
      <c r="RLH183" s="141"/>
      <c r="RLI183" s="141"/>
      <c r="RLJ183" s="141"/>
      <c r="RLK183" s="141"/>
      <c r="RLL183" s="141"/>
      <c r="RLM183" s="141"/>
      <c r="RLN183" s="141"/>
      <c r="RLO183" s="141"/>
      <c r="RLP183" s="141"/>
      <c r="RLQ183" s="141"/>
      <c r="RLR183" s="141"/>
      <c r="RLS183" s="141"/>
      <c r="RLT183" s="141"/>
      <c r="RLU183" s="141"/>
      <c r="RLV183" s="141"/>
      <c r="RLW183" s="141"/>
      <c r="RLX183" s="141"/>
      <c r="RLY183" s="141"/>
      <c r="RLZ183" s="141"/>
      <c r="RMA183" s="141"/>
      <c r="RMB183" s="141"/>
      <c r="RMC183" s="141"/>
      <c r="RMD183" s="141"/>
      <c r="RME183" s="141"/>
      <c r="RMF183" s="141"/>
      <c r="RMG183" s="141"/>
      <c r="RMH183" s="141"/>
      <c r="RMI183" s="141"/>
      <c r="RMJ183" s="141"/>
      <c r="RMK183" s="141"/>
      <c r="RML183" s="141"/>
      <c r="RMM183" s="141"/>
      <c r="RMN183" s="141"/>
      <c r="RMO183" s="141"/>
      <c r="RMP183" s="141"/>
      <c r="RMQ183" s="141"/>
      <c r="RMR183" s="141"/>
      <c r="RMS183" s="141"/>
      <c r="RMT183" s="141"/>
      <c r="RMU183" s="141"/>
      <c r="RMV183" s="141"/>
      <c r="RMW183" s="141"/>
      <c r="RMX183" s="141"/>
      <c r="RMY183" s="141"/>
      <c r="RMZ183" s="141"/>
      <c r="RNA183" s="141"/>
      <c r="RNB183" s="141"/>
      <c r="RNC183" s="141"/>
      <c r="RND183" s="141"/>
      <c r="RNE183" s="141"/>
      <c r="RNF183" s="141"/>
      <c r="RNG183" s="141"/>
      <c r="RNH183" s="141"/>
      <c r="RNI183" s="141"/>
      <c r="RNJ183" s="141"/>
      <c r="RNK183" s="141"/>
      <c r="RNL183" s="141"/>
      <c r="RNM183" s="141"/>
      <c r="RNN183" s="141"/>
      <c r="RNO183" s="141"/>
      <c r="RNP183" s="141"/>
      <c r="RNQ183" s="141"/>
      <c r="RNR183" s="141"/>
      <c r="RNS183" s="141"/>
      <c r="RNT183" s="141"/>
      <c r="RNU183" s="141"/>
      <c r="RNV183" s="141"/>
      <c r="RNW183" s="141"/>
      <c r="RNX183" s="141"/>
      <c r="RNY183" s="141"/>
      <c r="RNZ183" s="141"/>
      <c r="ROA183" s="141"/>
      <c r="ROB183" s="141"/>
      <c r="ROC183" s="141"/>
      <c r="ROD183" s="141"/>
      <c r="ROE183" s="141"/>
      <c r="ROF183" s="141"/>
      <c r="ROG183" s="141"/>
      <c r="ROH183" s="141"/>
      <c r="ROI183" s="141"/>
      <c r="ROJ183" s="141"/>
      <c r="ROK183" s="141"/>
      <c r="ROL183" s="141"/>
      <c r="ROM183" s="141"/>
      <c r="RON183" s="141"/>
      <c r="ROO183" s="141"/>
      <c r="ROP183" s="141"/>
      <c r="ROQ183" s="141"/>
      <c r="ROR183" s="141"/>
      <c r="ROS183" s="141"/>
      <c r="ROT183" s="141"/>
      <c r="ROU183" s="141"/>
      <c r="ROV183" s="141"/>
      <c r="ROW183" s="141"/>
      <c r="ROX183" s="141"/>
      <c r="ROY183" s="141"/>
      <c r="ROZ183" s="141"/>
      <c r="RPA183" s="141"/>
      <c r="RPB183" s="141"/>
      <c r="RPC183" s="141"/>
      <c r="RPD183" s="141"/>
      <c r="RPE183" s="141"/>
      <c r="RPF183" s="141"/>
      <c r="RPG183" s="141"/>
      <c r="RPH183" s="141"/>
      <c r="RPI183" s="141"/>
      <c r="RPJ183" s="141"/>
      <c r="RPK183" s="141"/>
      <c r="RPL183" s="141"/>
      <c r="RPM183" s="141"/>
      <c r="RPN183" s="141"/>
      <c r="RPO183" s="141"/>
      <c r="RPP183" s="141"/>
      <c r="RPQ183" s="141"/>
      <c r="RPR183" s="141"/>
      <c r="RPS183" s="141"/>
      <c r="RPT183" s="141"/>
      <c r="RPU183" s="141"/>
      <c r="RPV183" s="141"/>
      <c r="RPW183" s="141"/>
      <c r="RPX183" s="141"/>
      <c r="RPY183" s="141"/>
      <c r="RPZ183" s="141"/>
      <c r="RQA183" s="141"/>
      <c r="RQB183" s="141"/>
      <c r="RQC183" s="141"/>
      <c r="RQD183" s="141"/>
      <c r="RQE183" s="141"/>
      <c r="RQF183" s="141"/>
      <c r="RQG183" s="141"/>
      <c r="RQH183" s="141"/>
      <c r="RQI183" s="141"/>
      <c r="RQJ183" s="141"/>
      <c r="RQK183" s="141"/>
      <c r="RQL183" s="141"/>
      <c r="RQM183" s="141"/>
      <c r="RQN183" s="141"/>
      <c r="RQO183" s="141"/>
      <c r="RQP183" s="141"/>
      <c r="RQQ183" s="141"/>
      <c r="RQR183" s="141"/>
      <c r="RQS183" s="141"/>
      <c r="RQT183" s="141"/>
      <c r="RQU183" s="141"/>
      <c r="RQV183" s="141"/>
      <c r="RQW183" s="141"/>
      <c r="RQX183" s="141"/>
      <c r="RQY183" s="141"/>
      <c r="RQZ183" s="141"/>
      <c r="RRA183" s="141"/>
      <c r="RRB183" s="141"/>
      <c r="RRC183" s="141"/>
      <c r="RRD183" s="141"/>
      <c r="RRE183" s="141"/>
      <c r="RRF183" s="141"/>
      <c r="RRG183" s="141"/>
      <c r="RRH183" s="141"/>
      <c r="RRI183" s="141"/>
      <c r="RRJ183" s="141"/>
      <c r="RRK183" s="141"/>
      <c r="RRL183" s="141"/>
      <c r="RRM183" s="141"/>
      <c r="RRN183" s="141"/>
      <c r="RRO183" s="141"/>
      <c r="RRP183" s="141"/>
      <c r="RRQ183" s="141"/>
      <c r="RRR183" s="141"/>
      <c r="RRS183" s="141"/>
      <c r="RRT183" s="141"/>
      <c r="RRU183" s="141"/>
      <c r="RRV183" s="141"/>
      <c r="RRW183" s="141"/>
      <c r="RRX183" s="141"/>
      <c r="RRY183" s="141"/>
      <c r="RRZ183" s="141"/>
      <c r="RSA183" s="141"/>
      <c r="RSB183" s="141"/>
      <c r="RSC183" s="141"/>
      <c r="RSD183" s="141"/>
      <c r="RSE183" s="141"/>
      <c r="RSF183" s="141"/>
      <c r="RSG183" s="141"/>
      <c r="RSH183" s="141"/>
      <c r="RSI183" s="141"/>
      <c r="RSJ183" s="141"/>
      <c r="RSK183" s="141"/>
      <c r="RSL183" s="141"/>
      <c r="RSM183" s="141"/>
      <c r="RSN183" s="141"/>
      <c r="RSO183" s="141"/>
      <c r="RSP183" s="141"/>
      <c r="RSQ183" s="141"/>
      <c r="RSR183" s="141"/>
      <c r="RSS183" s="141"/>
      <c r="RST183" s="141"/>
      <c r="RSU183" s="141"/>
      <c r="RSV183" s="141"/>
      <c r="RSW183" s="141"/>
      <c r="RSX183" s="141"/>
      <c r="RSY183" s="141"/>
      <c r="RSZ183" s="141"/>
      <c r="RTA183" s="141"/>
      <c r="RTB183" s="141"/>
      <c r="RTC183" s="141"/>
      <c r="RTD183" s="141"/>
      <c r="RTE183" s="141"/>
      <c r="RTF183" s="141"/>
      <c r="RTG183" s="141"/>
      <c r="RTH183" s="141"/>
      <c r="RTI183" s="141"/>
      <c r="RTJ183" s="141"/>
      <c r="RTK183" s="141"/>
      <c r="RTL183" s="141"/>
      <c r="RTM183" s="141"/>
      <c r="RTN183" s="141"/>
      <c r="RTO183" s="141"/>
      <c r="RTP183" s="141"/>
      <c r="RTQ183" s="141"/>
      <c r="RTR183" s="141"/>
      <c r="RTS183" s="141"/>
      <c r="RTT183" s="141"/>
      <c r="RTU183" s="141"/>
      <c r="RTV183" s="141"/>
      <c r="RTW183" s="141"/>
      <c r="RTX183" s="141"/>
      <c r="RTY183" s="141"/>
      <c r="RTZ183" s="141"/>
      <c r="RUA183" s="141"/>
      <c r="RUB183" s="141"/>
      <c r="RUC183" s="141"/>
      <c r="RUD183" s="141"/>
      <c r="RUE183" s="141"/>
      <c r="RUF183" s="141"/>
      <c r="RUG183" s="141"/>
      <c r="RUH183" s="141"/>
      <c r="RUI183" s="141"/>
      <c r="RUJ183" s="141"/>
      <c r="RUK183" s="141"/>
      <c r="RUL183" s="141"/>
      <c r="RUM183" s="141"/>
      <c r="RUN183" s="141"/>
      <c r="RUO183" s="141"/>
      <c r="RUP183" s="141"/>
      <c r="RUQ183" s="141"/>
      <c r="RUR183" s="141"/>
      <c r="RUS183" s="141"/>
      <c r="RUT183" s="141"/>
      <c r="RUU183" s="141"/>
      <c r="RUV183" s="141"/>
      <c r="RUW183" s="141"/>
      <c r="RUX183" s="141"/>
      <c r="RUY183" s="141"/>
      <c r="RUZ183" s="141"/>
      <c r="RVA183" s="141"/>
      <c r="RVB183" s="141"/>
      <c r="RVC183" s="141"/>
      <c r="RVD183" s="141"/>
      <c r="RVE183" s="141"/>
      <c r="RVF183" s="141"/>
      <c r="RVG183" s="141"/>
      <c r="RVH183" s="141"/>
      <c r="RVI183" s="141"/>
      <c r="RVJ183" s="141"/>
      <c r="RVK183" s="141"/>
      <c r="RVL183" s="141"/>
      <c r="RVM183" s="141"/>
      <c r="RVN183" s="141"/>
      <c r="RVO183" s="141"/>
      <c r="RVP183" s="141"/>
      <c r="RVQ183" s="141"/>
      <c r="RVR183" s="141"/>
      <c r="RVS183" s="141"/>
      <c r="RVT183" s="141"/>
      <c r="RVU183" s="141"/>
      <c r="RVV183" s="141"/>
      <c r="RVW183" s="141"/>
      <c r="RVX183" s="141"/>
      <c r="RVY183" s="141"/>
      <c r="RVZ183" s="141"/>
      <c r="RWA183" s="141"/>
      <c r="RWB183" s="141"/>
      <c r="RWC183" s="141"/>
      <c r="RWD183" s="141"/>
      <c r="RWE183" s="141"/>
      <c r="RWF183" s="141"/>
      <c r="RWG183" s="141"/>
      <c r="RWH183" s="141"/>
      <c r="RWI183" s="141"/>
      <c r="RWJ183" s="141"/>
      <c r="RWK183" s="141"/>
      <c r="RWL183" s="141"/>
      <c r="RWM183" s="141"/>
      <c r="RWN183" s="141"/>
      <c r="RWO183" s="141"/>
      <c r="RWP183" s="141"/>
      <c r="RWQ183" s="141"/>
      <c r="RWR183" s="141"/>
      <c r="RWS183" s="141"/>
      <c r="RWT183" s="141"/>
      <c r="RWU183" s="141"/>
      <c r="RWV183" s="141"/>
      <c r="RWW183" s="141"/>
      <c r="RWX183" s="141"/>
      <c r="RWY183" s="141"/>
      <c r="RWZ183" s="141"/>
      <c r="RXA183" s="141"/>
      <c r="RXB183" s="141"/>
      <c r="RXC183" s="141"/>
      <c r="RXD183" s="141"/>
      <c r="RXE183" s="141"/>
      <c r="RXF183" s="141"/>
      <c r="RXG183" s="141"/>
      <c r="RXH183" s="141"/>
      <c r="RXI183" s="141"/>
      <c r="RXJ183" s="141"/>
      <c r="RXK183" s="141"/>
      <c r="RXL183" s="141"/>
      <c r="RXM183" s="141"/>
      <c r="RXN183" s="141"/>
      <c r="RXO183" s="141"/>
      <c r="RXP183" s="141"/>
      <c r="RXQ183" s="141"/>
      <c r="RXR183" s="141"/>
      <c r="RXS183" s="141"/>
      <c r="RXT183" s="141"/>
      <c r="RXU183" s="141"/>
      <c r="RXV183" s="141"/>
      <c r="RXW183" s="141"/>
      <c r="RXX183" s="141"/>
      <c r="RXY183" s="141"/>
      <c r="RXZ183" s="141"/>
      <c r="RYA183" s="141"/>
      <c r="RYB183" s="141"/>
      <c r="RYC183" s="141"/>
      <c r="RYD183" s="141"/>
      <c r="RYE183" s="141"/>
      <c r="RYF183" s="141"/>
      <c r="RYG183" s="141"/>
      <c r="RYH183" s="141"/>
      <c r="RYI183" s="141"/>
      <c r="RYJ183" s="141"/>
      <c r="RYK183" s="141"/>
      <c r="RYL183" s="141"/>
      <c r="RYM183" s="141"/>
      <c r="RYN183" s="141"/>
      <c r="RYO183" s="141"/>
      <c r="RYP183" s="141"/>
      <c r="RYQ183" s="141"/>
      <c r="RYR183" s="141"/>
      <c r="RYS183" s="141"/>
      <c r="RYT183" s="141"/>
      <c r="RYU183" s="141"/>
      <c r="RYV183" s="141"/>
      <c r="RYW183" s="141"/>
      <c r="RYX183" s="141"/>
      <c r="RYY183" s="141"/>
      <c r="RYZ183" s="141"/>
      <c r="RZA183" s="141"/>
      <c r="RZB183" s="141"/>
      <c r="RZC183" s="141"/>
      <c r="RZD183" s="141"/>
      <c r="RZE183" s="141"/>
      <c r="RZF183" s="141"/>
      <c r="RZG183" s="141"/>
      <c r="RZH183" s="141"/>
      <c r="RZI183" s="141"/>
      <c r="RZJ183" s="141"/>
      <c r="RZK183" s="141"/>
      <c r="RZL183" s="141"/>
      <c r="RZM183" s="141"/>
      <c r="RZN183" s="141"/>
      <c r="RZO183" s="141"/>
      <c r="RZP183" s="141"/>
      <c r="RZQ183" s="141"/>
      <c r="RZR183" s="141"/>
      <c r="RZS183" s="141"/>
      <c r="RZT183" s="141"/>
      <c r="RZU183" s="141"/>
      <c r="RZV183" s="141"/>
      <c r="RZW183" s="141"/>
      <c r="RZX183" s="141"/>
      <c r="RZY183" s="141"/>
      <c r="RZZ183" s="141"/>
      <c r="SAA183" s="141"/>
      <c r="SAB183" s="141"/>
      <c r="SAC183" s="141"/>
      <c r="SAD183" s="141"/>
      <c r="SAE183" s="141"/>
      <c r="SAF183" s="141"/>
      <c r="SAG183" s="141"/>
      <c r="SAH183" s="141"/>
      <c r="SAI183" s="141"/>
      <c r="SAJ183" s="141"/>
      <c r="SAK183" s="141"/>
      <c r="SAL183" s="141"/>
      <c r="SAM183" s="141"/>
      <c r="SAN183" s="141"/>
      <c r="SAO183" s="141"/>
      <c r="SAP183" s="141"/>
      <c r="SAQ183" s="141"/>
      <c r="SAR183" s="141"/>
      <c r="SAS183" s="141"/>
      <c r="SAT183" s="141"/>
      <c r="SAU183" s="141"/>
      <c r="SAV183" s="141"/>
      <c r="SAW183" s="141"/>
      <c r="SAX183" s="141"/>
      <c r="SAY183" s="141"/>
      <c r="SAZ183" s="141"/>
      <c r="SBA183" s="141"/>
      <c r="SBB183" s="141"/>
      <c r="SBC183" s="141"/>
      <c r="SBD183" s="141"/>
      <c r="SBE183" s="141"/>
      <c r="SBF183" s="141"/>
      <c r="SBG183" s="141"/>
      <c r="SBH183" s="141"/>
      <c r="SBI183" s="141"/>
      <c r="SBJ183" s="141"/>
      <c r="SBK183" s="141"/>
      <c r="SBL183" s="141"/>
      <c r="SBM183" s="141"/>
      <c r="SBN183" s="141"/>
      <c r="SBO183" s="141"/>
      <c r="SBP183" s="141"/>
      <c r="SBQ183" s="141"/>
      <c r="SBR183" s="141"/>
      <c r="SBS183" s="141"/>
      <c r="SBT183" s="141"/>
      <c r="SBU183" s="141"/>
      <c r="SBV183" s="141"/>
      <c r="SBW183" s="141"/>
      <c r="SBX183" s="141"/>
      <c r="SBY183" s="141"/>
      <c r="SBZ183" s="141"/>
      <c r="SCA183" s="141"/>
      <c r="SCB183" s="141"/>
      <c r="SCC183" s="141"/>
      <c r="SCD183" s="141"/>
      <c r="SCE183" s="141"/>
      <c r="SCF183" s="141"/>
      <c r="SCG183" s="141"/>
      <c r="SCH183" s="141"/>
      <c r="SCI183" s="141"/>
      <c r="SCJ183" s="141"/>
      <c r="SCK183" s="141"/>
      <c r="SCL183" s="141"/>
      <c r="SCM183" s="141"/>
      <c r="SCN183" s="141"/>
      <c r="SCO183" s="141"/>
      <c r="SCP183" s="141"/>
      <c r="SCQ183" s="141"/>
      <c r="SCR183" s="141"/>
      <c r="SCS183" s="141"/>
      <c r="SCT183" s="141"/>
      <c r="SCU183" s="141"/>
      <c r="SCV183" s="141"/>
      <c r="SCW183" s="141"/>
      <c r="SCX183" s="141"/>
      <c r="SCY183" s="141"/>
      <c r="SCZ183" s="141"/>
      <c r="SDA183" s="141"/>
      <c r="SDB183" s="141"/>
      <c r="SDC183" s="141"/>
      <c r="SDD183" s="141"/>
      <c r="SDE183" s="141"/>
      <c r="SDF183" s="141"/>
      <c r="SDG183" s="141"/>
      <c r="SDH183" s="141"/>
      <c r="SDI183" s="141"/>
      <c r="SDJ183" s="141"/>
      <c r="SDK183" s="141"/>
      <c r="SDL183" s="141"/>
      <c r="SDM183" s="141"/>
      <c r="SDN183" s="141"/>
      <c r="SDO183" s="141"/>
      <c r="SDP183" s="141"/>
      <c r="SDQ183" s="141"/>
      <c r="SDR183" s="141"/>
      <c r="SDS183" s="141"/>
      <c r="SDT183" s="141"/>
      <c r="SDU183" s="141"/>
      <c r="SDV183" s="141"/>
      <c r="SDW183" s="141"/>
      <c r="SDX183" s="141"/>
      <c r="SDY183" s="141"/>
      <c r="SDZ183" s="141"/>
      <c r="SEA183" s="141"/>
      <c r="SEB183" s="141"/>
      <c r="SEC183" s="141"/>
      <c r="SED183" s="141"/>
      <c r="SEE183" s="141"/>
      <c r="SEF183" s="141"/>
      <c r="SEG183" s="141"/>
      <c r="SEH183" s="141"/>
      <c r="SEI183" s="141"/>
      <c r="SEJ183" s="141"/>
      <c r="SEK183" s="141"/>
      <c r="SEL183" s="141"/>
      <c r="SEM183" s="141"/>
      <c r="SEN183" s="141"/>
      <c r="SEO183" s="141"/>
      <c r="SEP183" s="141"/>
      <c r="SEQ183" s="141"/>
      <c r="SER183" s="141"/>
      <c r="SES183" s="141"/>
      <c r="SET183" s="141"/>
      <c r="SEU183" s="141"/>
      <c r="SEV183" s="141"/>
      <c r="SEW183" s="141"/>
      <c r="SEX183" s="141"/>
      <c r="SEY183" s="141"/>
      <c r="SEZ183" s="141"/>
      <c r="SFA183" s="141"/>
      <c r="SFB183" s="141"/>
      <c r="SFC183" s="141"/>
      <c r="SFD183" s="141"/>
      <c r="SFE183" s="141"/>
      <c r="SFF183" s="141"/>
      <c r="SFG183" s="141"/>
      <c r="SFH183" s="141"/>
      <c r="SFI183" s="141"/>
      <c r="SFJ183" s="141"/>
      <c r="SFK183" s="141"/>
      <c r="SFL183" s="141"/>
      <c r="SFM183" s="141"/>
      <c r="SFN183" s="141"/>
      <c r="SFO183" s="141"/>
      <c r="SFP183" s="141"/>
      <c r="SFQ183" s="141"/>
      <c r="SFR183" s="141"/>
      <c r="SFS183" s="141"/>
      <c r="SFT183" s="141"/>
      <c r="SFU183" s="141"/>
      <c r="SFV183" s="141"/>
      <c r="SFW183" s="141"/>
      <c r="SFX183" s="141"/>
      <c r="SFY183" s="141"/>
      <c r="SFZ183" s="141"/>
      <c r="SGA183" s="141"/>
      <c r="SGB183" s="141"/>
      <c r="SGC183" s="141"/>
      <c r="SGD183" s="141"/>
      <c r="SGE183" s="141"/>
      <c r="SGF183" s="141"/>
      <c r="SGG183" s="141"/>
      <c r="SGH183" s="141"/>
      <c r="SGI183" s="141"/>
      <c r="SGJ183" s="141"/>
      <c r="SGK183" s="141"/>
      <c r="SGL183" s="141"/>
      <c r="SGM183" s="141"/>
      <c r="SGN183" s="141"/>
      <c r="SGO183" s="141"/>
      <c r="SGP183" s="141"/>
      <c r="SGQ183" s="141"/>
      <c r="SGR183" s="141"/>
      <c r="SGS183" s="141"/>
      <c r="SGT183" s="141"/>
      <c r="SGU183" s="141"/>
      <c r="SGV183" s="141"/>
      <c r="SGW183" s="141"/>
      <c r="SGX183" s="141"/>
      <c r="SGY183" s="141"/>
      <c r="SGZ183" s="141"/>
      <c r="SHA183" s="141"/>
      <c r="SHB183" s="141"/>
      <c r="SHC183" s="141"/>
      <c r="SHD183" s="141"/>
      <c r="SHE183" s="141"/>
      <c r="SHF183" s="141"/>
      <c r="SHG183" s="141"/>
      <c r="SHH183" s="141"/>
      <c r="SHI183" s="141"/>
      <c r="SHJ183" s="141"/>
      <c r="SHK183" s="141"/>
      <c r="SHL183" s="141"/>
      <c r="SHM183" s="141"/>
      <c r="SHN183" s="141"/>
      <c r="SHO183" s="141"/>
      <c r="SHP183" s="141"/>
      <c r="SHQ183" s="141"/>
      <c r="SHR183" s="141"/>
      <c r="SHS183" s="141"/>
      <c r="SHT183" s="141"/>
      <c r="SHU183" s="141"/>
      <c r="SHV183" s="141"/>
      <c r="SHW183" s="141"/>
      <c r="SHX183" s="141"/>
      <c r="SHY183" s="141"/>
      <c r="SHZ183" s="141"/>
      <c r="SIA183" s="141"/>
      <c r="SIB183" s="141"/>
      <c r="SIC183" s="141"/>
      <c r="SID183" s="141"/>
      <c r="SIE183" s="141"/>
      <c r="SIF183" s="141"/>
      <c r="SIG183" s="141"/>
      <c r="SIH183" s="141"/>
      <c r="SII183" s="141"/>
      <c r="SIJ183" s="141"/>
      <c r="SIK183" s="141"/>
      <c r="SIL183" s="141"/>
      <c r="SIM183" s="141"/>
      <c r="SIN183" s="141"/>
      <c r="SIO183" s="141"/>
      <c r="SIP183" s="141"/>
      <c r="SIQ183" s="141"/>
      <c r="SIR183" s="141"/>
      <c r="SIS183" s="141"/>
      <c r="SIT183" s="141"/>
      <c r="SIU183" s="141"/>
      <c r="SIV183" s="141"/>
      <c r="SIW183" s="141"/>
      <c r="SIX183" s="141"/>
      <c r="SIY183" s="141"/>
      <c r="SIZ183" s="141"/>
      <c r="SJA183" s="141"/>
      <c r="SJB183" s="141"/>
      <c r="SJC183" s="141"/>
      <c r="SJD183" s="141"/>
      <c r="SJE183" s="141"/>
      <c r="SJF183" s="141"/>
      <c r="SJG183" s="141"/>
      <c r="SJH183" s="141"/>
      <c r="SJI183" s="141"/>
      <c r="SJJ183" s="141"/>
      <c r="SJK183" s="141"/>
      <c r="SJL183" s="141"/>
      <c r="SJM183" s="141"/>
      <c r="SJN183" s="141"/>
      <c r="SJO183" s="141"/>
      <c r="SJP183" s="141"/>
      <c r="SJQ183" s="141"/>
      <c r="SJR183" s="141"/>
      <c r="SJS183" s="141"/>
      <c r="SJT183" s="141"/>
      <c r="SJU183" s="141"/>
      <c r="SJV183" s="141"/>
      <c r="SJW183" s="141"/>
      <c r="SJX183" s="141"/>
      <c r="SJY183" s="141"/>
      <c r="SJZ183" s="141"/>
      <c r="SKA183" s="141"/>
      <c r="SKB183" s="141"/>
      <c r="SKC183" s="141"/>
      <c r="SKD183" s="141"/>
      <c r="SKE183" s="141"/>
      <c r="SKF183" s="141"/>
      <c r="SKG183" s="141"/>
      <c r="SKH183" s="141"/>
      <c r="SKI183" s="141"/>
      <c r="SKJ183" s="141"/>
      <c r="SKK183" s="141"/>
      <c r="SKL183" s="141"/>
      <c r="SKM183" s="141"/>
      <c r="SKN183" s="141"/>
      <c r="SKO183" s="141"/>
      <c r="SKP183" s="141"/>
      <c r="SKQ183" s="141"/>
      <c r="SKR183" s="141"/>
      <c r="SKS183" s="141"/>
      <c r="SKT183" s="141"/>
      <c r="SKU183" s="141"/>
      <c r="SKV183" s="141"/>
      <c r="SKW183" s="141"/>
      <c r="SKX183" s="141"/>
      <c r="SKY183" s="141"/>
      <c r="SKZ183" s="141"/>
      <c r="SLA183" s="141"/>
      <c r="SLB183" s="141"/>
      <c r="SLC183" s="141"/>
      <c r="SLD183" s="141"/>
      <c r="SLE183" s="141"/>
      <c r="SLF183" s="141"/>
      <c r="SLG183" s="141"/>
      <c r="SLH183" s="141"/>
      <c r="SLI183" s="141"/>
      <c r="SLJ183" s="141"/>
      <c r="SLK183" s="141"/>
      <c r="SLL183" s="141"/>
      <c r="SLM183" s="141"/>
      <c r="SLN183" s="141"/>
      <c r="SLO183" s="141"/>
      <c r="SLP183" s="141"/>
      <c r="SLQ183" s="141"/>
      <c r="SLR183" s="141"/>
      <c r="SLS183" s="141"/>
      <c r="SLT183" s="141"/>
      <c r="SLU183" s="141"/>
      <c r="SLV183" s="141"/>
      <c r="SLW183" s="141"/>
      <c r="SLX183" s="141"/>
      <c r="SLY183" s="141"/>
      <c r="SLZ183" s="141"/>
      <c r="SMA183" s="141"/>
      <c r="SMB183" s="141"/>
      <c r="SMC183" s="141"/>
      <c r="SMD183" s="141"/>
      <c r="SME183" s="141"/>
      <c r="SMF183" s="141"/>
      <c r="SMG183" s="141"/>
      <c r="SMH183" s="141"/>
      <c r="SMI183" s="141"/>
      <c r="SMJ183" s="141"/>
      <c r="SMK183" s="141"/>
      <c r="SML183" s="141"/>
      <c r="SMM183" s="141"/>
      <c r="SMN183" s="141"/>
      <c r="SMO183" s="141"/>
      <c r="SMP183" s="141"/>
      <c r="SMQ183" s="141"/>
      <c r="SMR183" s="141"/>
      <c r="SMS183" s="141"/>
      <c r="SMT183" s="141"/>
      <c r="SMU183" s="141"/>
      <c r="SMV183" s="141"/>
      <c r="SMW183" s="141"/>
      <c r="SMX183" s="141"/>
      <c r="SMY183" s="141"/>
      <c r="SMZ183" s="141"/>
      <c r="SNA183" s="141"/>
      <c r="SNB183" s="141"/>
      <c r="SNC183" s="141"/>
      <c r="SND183" s="141"/>
      <c r="SNE183" s="141"/>
      <c r="SNF183" s="141"/>
      <c r="SNG183" s="141"/>
      <c r="SNH183" s="141"/>
      <c r="SNI183" s="141"/>
      <c r="SNJ183" s="141"/>
      <c r="SNK183" s="141"/>
      <c r="SNL183" s="141"/>
      <c r="SNM183" s="141"/>
      <c r="SNN183" s="141"/>
      <c r="SNO183" s="141"/>
      <c r="SNP183" s="141"/>
      <c r="SNQ183" s="141"/>
      <c r="SNR183" s="141"/>
      <c r="SNS183" s="141"/>
      <c r="SNT183" s="141"/>
      <c r="SNU183" s="141"/>
      <c r="SNV183" s="141"/>
      <c r="SNW183" s="141"/>
      <c r="SNX183" s="141"/>
      <c r="SNY183" s="141"/>
      <c r="SNZ183" s="141"/>
      <c r="SOA183" s="141"/>
      <c r="SOB183" s="141"/>
      <c r="SOC183" s="141"/>
      <c r="SOD183" s="141"/>
      <c r="SOE183" s="141"/>
      <c r="SOF183" s="141"/>
      <c r="SOG183" s="141"/>
      <c r="SOH183" s="141"/>
      <c r="SOI183" s="141"/>
      <c r="SOJ183" s="141"/>
      <c r="SOK183" s="141"/>
      <c r="SOL183" s="141"/>
      <c r="SOM183" s="141"/>
      <c r="SON183" s="141"/>
      <c r="SOO183" s="141"/>
      <c r="SOP183" s="141"/>
      <c r="SOQ183" s="141"/>
      <c r="SOR183" s="141"/>
      <c r="SOS183" s="141"/>
      <c r="SOT183" s="141"/>
      <c r="SOU183" s="141"/>
      <c r="SOV183" s="141"/>
      <c r="SOW183" s="141"/>
      <c r="SOX183" s="141"/>
      <c r="SOY183" s="141"/>
      <c r="SOZ183" s="141"/>
      <c r="SPA183" s="141"/>
      <c r="SPB183" s="141"/>
      <c r="SPC183" s="141"/>
      <c r="SPD183" s="141"/>
      <c r="SPE183" s="141"/>
      <c r="SPF183" s="141"/>
      <c r="SPG183" s="141"/>
      <c r="SPH183" s="141"/>
      <c r="SPI183" s="141"/>
      <c r="SPJ183" s="141"/>
      <c r="SPK183" s="141"/>
      <c r="SPL183" s="141"/>
      <c r="SPM183" s="141"/>
      <c r="SPN183" s="141"/>
      <c r="SPO183" s="141"/>
      <c r="SPP183" s="141"/>
      <c r="SPQ183" s="141"/>
      <c r="SPR183" s="141"/>
      <c r="SPS183" s="141"/>
      <c r="SPT183" s="141"/>
      <c r="SPU183" s="141"/>
      <c r="SPV183" s="141"/>
      <c r="SPW183" s="141"/>
      <c r="SPX183" s="141"/>
      <c r="SPY183" s="141"/>
      <c r="SPZ183" s="141"/>
      <c r="SQA183" s="141"/>
      <c r="SQB183" s="141"/>
      <c r="SQC183" s="141"/>
      <c r="SQD183" s="141"/>
      <c r="SQE183" s="141"/>
      <c r="SQF183" s="141"/>
      <c r="SQG183" s="141"/>
      <c r="SQH183" s="141"/>
      <c r="SQI183" s="141"/>
      <c r="SQJ183" s="141"/>
      <c r="SQK183" s="141"/>
      <c r="SQL183" s="141"/>
      <c r="SQM183" s="141"/>
      <c r="SQN183" s="141"/>
      <c r="SQO183" s="141"/>
      <c r="SQP183" s="141"/>
      <c r="SQQ183" s="141"/>
      <c r="SQR183" s="141"/>
      <c r="SQS183" s="141"/>
      <c r="SQT183" s="141"/>
      <c r="SQU183" s="141"/>
      <c r="SQV183" s="141"/>
      <c r="SQW183" s="141"/>
      <c r="SQX183" s="141"/>
      <c r="SQY183" s="141"/>
      <c r="SQZ183" s="141"/>
      <c r="SRA183" s="141"/>
      <c r="SRB183" s="141"/>
      <c r="SRC183" s="141"/>
      <c r="SRD183" s="141"/>
      <c r="SRE183" s="141"/>
      <c r="SRF183" s="141"/>
      <c r="SRG183" s="141"/>
      <c r="SRH183" s="141"/>
      <c r="SRI183" s="141"/>
      <c r="SRJ183" s="141"/>
      <c r="SRK183" s="141"/>
      <c r="SRL183" s="141"/>
      <c r="SRM183" s="141"/>
      <c r="SRN183" s="141"/>
      <c r="SRO183" s="141"/>
      <c r="SRP183" s="141"/>
      <c r="SRQ183" s="141"/>
      <c r="SRR183" s="141"/>
      <c r="SRS183" s="141"/>
      <c r="SRT183" s="141"/>
      <c r="SRU183" s="141"/>
      <c r="SRV183" s="141"/>
      <c r="SRW183" s="141"/>
      <c r="SRX183" s="141"/>
      <c r="SRY183" s="141"/>
      <c r="SRZ183" s="141"/>
      <c r="SSA183" s="141"/>
      <c r="SSB183" s="141"/>
      <c r="SSC183" s="141"/>
      <c r="SSD183" s="141"/>
      <c r="SSE183" s="141"/>
      <c r="SSF183" s="141"/>
      <c r="SSG183" s="141"/>
      <c r="SSH183" s="141"/>
      <c r="SSI183" s="141"/>
      <c r="SSJ183" s="141"/>
      <c r="SSK183" s="141"/>
      <c r="SSL183" s="141"/>
      <c r="SSM183" s="141"/>
      <c r="SSN183" s="141"/>
      <c r="SSO183" s="141"/>
      <c r="SSP183" s="141"/>
      <c r="SSQ183" s="141"/>
      <c r="SSR183" s="141"/>
      <c r="SSS183" s="141"/>
      <c r="SST183" s="141"/>
      <c r="SSU183" s="141"/>
      <c r="SSV183" s="141"/>
      <c r="SSW183" s="141"/>
      <c r="SSX183" s="141"/>
      <c r="SSY183" s="141"/>
      <c r="SSZ183" s="141"/>
      <c r="STA183" s="141"/>
      <c r="STB183" s="141"/>
      <c r="STC183" s="141"/>
      <c r="STD183" s="141"/>
      <c r="STE183" s="141"/>
      <c r="STF183" s="141"/>
      <c r="STG183" s="141"/>
      <c r="STH183" s="141"/>
      <c r="STI183" s="141"/>
      <c r="STJ183" s="141"/>
      <c r="STK183" s="141"/>
      <c r="STL183" s="141"/>
      <c r="STM183" s="141"/>
      <c r="STN183" s="141"/>
      <c r="STO183" s="141"/>
      <c r="STP183" s="141"/>
      <c r="STQ183" s="141"/>
      <c r="STR183" s="141"/>
      <c r="STS183" s="141"/>
      <c r="STT183" s="141"/>
      <c r="STU183" s="141"/>
      <c r="STV183" s="141"/>
      <c r="STW183" s="141"/>
      <c r="STX183" s="141"/>
      <c r="STY183" s="141"/>
      <c r="STZ183" s="141"/>
      <c r="SUA183" s="141"/>
      <c r="SUB183" s="141"/>
      <c r="SUC183" s="141"/>
      <c r="SUD183" s="141"/>
      <c r="SUE183" s="141"/>
      <c r="SUF183" s="141"/>
      <c r="SUG183" s="141"/>
      <c r="SUH183" s="141"/>
      <c r="SUI183" s="141"/>
      <c r="SUJ183" s="141"/>
      <c r="SUK183" s="141"/>
      <c r="SUL183" s="141"/>
      <c r="SUM183" s="141"/>
      <c r="SUN183" s="141"/>
      <c r="SUO183" s="141"/>
      <c r="SUP183" s="141"/>
      <c r="SUQ183" s="141"/>
      <c r="SUR183" s="141"/>
      <c r="SUS183" s="141"/>
      <c r="SUT183" s="141"/>
      <c r="SUU183" s="141"/>
      <c r="SUV183" s="141"/>
      <c r="SUW183" s="141"/>
      <c r="SUX183" s="141"/>
      <c r="SUY183" s="141"/>
      <c r="SUZ183" s="141"/>
      <c r="SVA183" s="141"/>
      <c r="SVB183" s="141"/>
      <c r="SVC183" s="141"/>
      <c r="SVD183" s="141"/>
      <c r="SVE183" s="141"/>
      <c r="SVF183" s="141"/>
      <c r="SVG183" s="141"/>
      <c r="SVH183" s="141"/>
      <c r="SVI183" s="141"/>
      <c r="SVJ183" s="141"/>
      <c r="SVK183" s="141"/>
      <c r="SVL183" s="141"/>
      <c r="SVM183" s="141"/>
      <c r="SVN183" s="141"/>
      <c r="SVO183" s="141"/>
      <c r="SVP183" s="141"/>
      <c r="SVQ183" s="141"/>
      <c r="SVR183" s="141"/>
      <c r="SVS183" s="141"/>
      <c r="SVT183" s="141"/>
      <c r="SVU183" s="141"/>
      <c r="SVV183" s="141"/>
      <c r="SVW183" s="141"/>
      <c r="SVX183" s="141"/>
      <c r="SVY183" s="141"/>
      <c r="SVZ183" s="141"/>
      <c r="SWA183" s="141"/>
      <c r="SWB183" s="141"/>
      <c r="SWC183" s="141"/>
      <c r="SWD183" s="141"/>
      <c r="SWE183" s="141"/>
      <c r="SWF183" s="141"/>
      <c r="SWG183" s="141"/>
      <c r="SWH183" s="141"/>
      <c r="SWI183" s="141"/>
      <c r="SWJ183" s="141"/>
      <c r="SWK183" s="141"/>
      <c r="SWL183" s="141"/>
      <c r="SWM183" s="141"/>
      <c r="SWN183" s="141"/>
      <c r="SWO183" s="141"/>
      <c r="SWP183" s="141"/>
      <c r="SWQ183" s="141"/>
      <c r="SWR183" s="141"/>
      <c r="SWS183" s="141"/>
      <c r="SWT183" s="141"/>
      <c r="SWU183" s="141"/>
      <c r="SWV183" s="141"/>
      <c r="SWW183" s="141"/>
      <c r="SWX183" s="141"/>
      <c r="SWY183" s="141"/>
      <c r="SWZ183" s="141"/>
      <c r="SXA183" s="141"/>
      <c r="SXB183" s="141"/>
      <c r="SXC183" s="141"/>
      <c r="SXD183" s="141"/>
      <c r="SXE183" s="141"/>
      <c r="SXF183" s="141"/>
      <c r="SXG183" s="141"/>
      <c r="SXH183" s="141"/>
      <c r="SXI183" s="141"/>
      <c r="SXJ183" s="141"/>
      <c r="SXK183" s="141"/>
      <c r="SXL183" s="141"/>
      <c r="SXM183" s="141"/>
      <c r="SXN183" s="141"/>
      <c r="SXO183" s="141"/>
      <c r="SXP183" s="141"/>
      <c r="SXQ183" s="141"/>
      <c r="SXR183" s="141"/>
      <c r="SXS183" s="141"/>
      <c r="SXT183" s="141"/>
      <c r="SXU183" s="141"/>
      <c r="SXV183" s="141"/>
      <c r="SXW183" s="141"/>
      <c r="SXX183" s="141"/>
      <c r="SXY183" s="141"/>
      <c r="SXZ183" s="141"/>
      <c r="SYA183" s="141"/>
      <c r="SYB183" s="141"/>
      <c r="SYC183" s="141"/>
      <c r="SYD183" s="141"/>
      <c r="SYE183" s="141"/>
      <c r="SYF183" s="141"/>
      <c r="SYG183" s="141"/>
      <c r="SYH183" s="141"/>
      <c r="SYI183" s="141"/>
      <c r="SYJ183" s="141"/>
      <c r="SYK183" s="141"/>
      <c r="SYL183" s="141"/>
      <c r="SYM183" s="141"/>
      <c r="SYN183" s="141"/>
      <c r="SYO183" s="141"/>
      <c r="SYP183" s="141"/>
      <c r="SYQ183" s="141"/>
      <c r="SYR183" s="141"/>
      <c r="SYS183" s="141"/>
      <c r="SYT183" s="141"/>
      <c r="SYU183" s="141"/>
      <c r="SYV183" s="141"/>
      <c r="SYW183" s="141"/>
      <c r="SYX183" s="141"/>
      <c r="SYY183" s="141"/>
      <c r="SYZ183" s="141"/>
      <c r="SZA183" s="141"/>
      <c r="SZB183" s="141"/>
      <c r="SZC183" s="141"/>
      <c r="SZD183" s="141"/>
      <c r="SZE183" s="141"/>
      <c r="SZF183" s="141"/>
      <c r="SZG183" s="141"/>
      <c r="SZH183" s="141"/>
      <c r="SZI183" s="141"/>
      <c r="SZJ183" s="141"/>
      <c r="SZK183" s="141"/>
      <c r="SZL183" s="141"/>
      <c r="SZM183" s="141"/>
      <c r="SZN183" s="141"/>
      <c r="SZO183" s="141"/>
      <c r="SZP183" s="141"/>
      <c r="SZQ183" s="141"/>
      <c r="SZR183" s="141"/>
      <c r="SZS183" s="141"/>
      <c r="SZT183" s="141"/>
      <c r="SZU183" s="141"/>
      <c r="SZV183" s="141"/>
      <c r="SZW183" s="141"/>
      <c r="SZX183" s="141"/>
      <c r="SZY183" s="141"/>
      <c r="SZZ183" s="141"/>
      <c r="TAA183" s="141"/>
      <c r="TAB183" s="141"/>
      <c r="TAC183" s="141"/>
      <c r="TAD183" s="141"/>
      <c r="TAE183" s="141"/>
      <c r="TAF183" s="141"/>
      <c r="TAG183" s="141"/>
      <c r="TAH183" s="141"/>
      <c r="TAI183" s="141"/>
      <c r="TAJ183" s="141"/>
      <c r="TAK183" s="141"/>
      <c r="TAL183" s="141"/>
      <c r="TAM183" s="141"/>
      <c r="TAN183" s="141"/>
      <c r="TAO183" s="141"/>
      <c r="TAP183" s="141"/>
      <c r="TAQ183" s="141"/>
      <c r="TAR183" s="141"/>
      <c r="TAS183" s="141"/>
      <c r="TAT183" s="141"/>
      <c r="TAU183" s="141"/>
      <c r="TAV183" s="141"/>
      <c r="TAW183" s="141"/>
      <c r="TAX183" s="141"/>
      <c r="TAY183" s="141"/>
      <c r="TAZ183" s="141"/>
      <c r="TBA183" s="141"/>
      <c r="TBB183" s="141"/>
      <c r="TBC183" s="141"/>
      <c r="TBD183" s="141"/>
      <c r="TBE183" s="141"/>
      <c r="TBF183" s="141"/>
      <c r="TBG183" s="141"/>
      <c r="TBH183" s="141"/>
      <c r="TBI183" s="141"/>
      <c r="TBJ183" s="141"/>
      <c r="TBK183" s="141"/>
      <c r="TBL183" s="141"/>
      <c r="TBM183" s="141"/>
      <c r="TBN183" s="141"/>
      <c r="TBO183" s="141"/>
      <c r="TBP183" s="141"/>
      <c r="TBQ183" s="141"/>
      <c r="TBR183" s="141"/>
      <c r="TBS183" s="141"/>
      <c r="TBT183" s="141"/>
      <c r="TBU183" s="141"/>
      <c r="TBV183" s="141"/>
      <c r="TBW183" s="141"/>
      <c r="TBX183" s="141"/>
      <c r="TBY183" s="141"/>
      <c r="TBZ183" s="141"/>
      <c r="TCA183" s="141"/>
      <c r="TCB183" s="141"/>
      <c r="TCC183" s="141"/>
      <c r="TCD183" s="141"/>
      <c r="TCE183" s="141"/>
      <c r="TCF183" s="141"/>
      <c r="TCG183" s="141"/>
      <c r="TCH183" s="141"/>
      <c r="TCI183" s="141"/>
      <c r="TCJ183" s="141"/>
      <c r="TCK183" s="141"/>
      <c r="TCL183" s="141"/>
      <c r="TCM183" s="141"/>
      <c r="TCN183" s="141"/>
      <c r="TCO183" s="141"/>
      <c r="TCP183" s="141"/>
      <c r="TCQ183" s="141"/>
      <c r="TCR183" s="141"/>
      <c r="TCS183" s="141"/>
      <c r="TCT183" s="141"/>
      <c r="TCU183" s="141"/>
      <c r="TCV183" s="141"/>
      <c r="TCW183" s="141"/>
      <c r="TCX183" s="141"/>
      <c r="TCY183" s="141"/>
      <c r="TCZ183" s="141"/>
      <c r="TDA183" s="141"/>
      <c r="TDB183" s="141"/>
      <c r="TDC183" s="141"/>
      <c r="TDD183" s="141"/>
      <c r="TDE183" s="141"/>
      <c r="TDF183" s="141"/>
      <c r="TDG183" s="141"/>
      <c r="TDH183" s="141"/>
      <c r="TDI183" s="141"/>
      <c r="TDJ183" s="141"/>
      <c r="TDK183" s="141"/>
      <c r="TDL183" s="141"/>
      <c r="TDM183" s="141"/>
      <c r="TDN183" s="141"/>
      <c r="TDO183" s="141"/>
      <c r="TDP183" s="141"/>
      <c r="TDQ183" s="141"/>
      <c r="TDR183" s="141"/>
      <c r="TDS183" s="141"/>
      <c r="TDT183" s="141"/>
      <c r="TDU183" s="141"/>
      <c r="TDV183" s="141"/>
      <c r="TDW183" s="141"/>
      <c r="TDX183" s="141"/>
      <c r="TDY183" s="141"/>
      <c r="TDZ183" s="141"/>
      <c r="TEA183" s="141"/>
      <c r="TEB183" s="141"/>
      <c r="TEC183" s="141"/>
      <c r="TED183" s="141"/>
      <c r="TEE183" s="141"/>
      <c r="TEF183" s="141"/>
      <c r="TEG183" s="141"/>
      <c r="TEH183" s="141"/>
      <c r="TEI183" s="141"/>
      <c r="TEJ183" s="141"/>
      <c r="TEK183" s="141"/>
      <c r="TEL183" s="141"/>
      <c r="TEM183" s="141"/>
      <c r="TEN183" s="141"/>
      <c r="TEO183" s="141"/>
      <c r="TEP183" s="141"/>
      <c r="TEQ183" s="141"/>
      <c r="TER183" s="141"/>
      <c r="TES183" s="141"/>
      <c r="TET183" s="141"/>
      <c r="TEU183" s="141"/>
      <c r="TEV183" s="141"/>
      <c r="TEW183" s="141"/>
      <c r="TEX183" s="141"/>
      <c r="TEY183" s="141"/>
      <c r="TEZ183" s="141"/>
      <c r="TFA183" s="141"/>
      <c r="TFB183" s="141"/>
      <c r="TFC183" s="141"/>
      <c r="TFD183" s="141"/>
      <c r="TFE183" s="141"/>
      <c r="TFF183" s="141"/>
      <c r="TFG183" s="141"/>
      <c r="TFH183" s="141"/>
      <c r="TFI183" s="141"/>
      <c r="TFJ183" s="141"/>
      <c r="TFK183" s="141"/>
      <c r="TFL183" s="141"/>
      <c r="TFM183" s="141"/>
      <c r="TFN183" s="141"/>
      <c r="TFO183" s="141"/>
      <c r="TFP183" s="141"/>
      <c r="TFQ183" s="141"/>
      <c r="TFR183" s="141"/>
      <c r="TFS183" s="141"/>
      <c r="TFT183" s="141"/>
      <c r="TFU183" s="141"/>
      <c r="TFV183" s="141"/>
      <c r="TFW183" s="141"/>
      <c r="TFX183" s="141"/>
      <c r="TFY183" s="141"/>
      <c r="TFZ183" s="141"/>
      <c r="TGA183" s="141"/>
      <c r="TGB183" s="141"/>
      <c r="TGC183" s="141"/>
      <c r="TGD183" s="141"/>
      <c r="TGE183" s="141"/>
      <c r="TGF183" s="141"/>
      <c r="TGG183" s="141"/>
      <c r="TGH183" s="141"/>
      <c r="TGI183" s="141"/>
      <c r="TGJ183" s="141"/>
      <c r="TGK183" s="141"/>
      <c r="TGL183" s="141"/>
      <c r="TGM183" s="141"/>
      <c r="TGN183" s="141"/>
      <c r="TGO183" s="141"/>
      <c r="TGP183" s="141"/>
      <c r="TGQ183" s="141"/>
      <c r="TGR183" s="141"/>
      <c r="TGS183" s="141"/>
      <c r="TGT183" s="141"/>
      <c r="TGU183" s="141"/>
      <c r="TGV183" s="141"/>
      <c r="TGW183" s="141"/>
      <c r="TGX183" s="141"/>
      <c r="TGY183" s="141"/>
      <c r="TGZ183" s="141"/>
      <c r="THA183" s="141"/>
      <c r="THB183" s="141"/>
      <c r="THC183" s="141"/>
      <c r="THD183" s="141"/>
      <c r="THE183" s="141"/>
      <c r="THF183" s="141"/>
      <c r="THG183" s="141"/>
      <c r="THH183" s="141"/>
      <c r="THI183" s="141"/>
      <c r="THJ183" s="141"/>
      <c r="THK183" s="141"/>
      <c r="THL183" s="141"/>
      <c r="THM183" s="141"/>
      <c r="THN183" s="141"/>
      <c r="THO183" s="141"/>
      <c r="THP183" s="141"/>
      <c r="THQ183" s="141"/>
      <c r="THR183" s="141"/>
      <c r="THS183" s="141"/>
      <c r="THT183" s="141"/>
      <c r="THU183" s="141"/>
      <c r="THV183" s="141"/>
      <c r="THW183" s="141"/>
      <c r="THX183" s="141"/>
      <c r="THY183" s="141"/>
      <c r="THZ183" s="141"/>
      <c r="TIA183" s="141"/>
      <c r="TIB183" s="141"/>
      <c r="TIC183" s="141"/>
      <c r="TID183" s="141"/>
      <c r="TIE183" s="141"/>
      <c r="TIF183" s="141"/>
      <c r="TIG183" s="141"/>
      <c r="TIH183" s="141"/>
      <c r="TII183" s="141"/>
      <c r="TIJ183" s="141"/>
      <c r="TIK183" s="141"/>
      <c r="TIL183" s="141"/>
      <c r="TIM183" s="141"/>
      <c r="TIN183" s="141"/>
      <c r="TIO183" s="141"/>
      <c r="TIP183" s="141"/>
      <c r="TIQ183" s="141"/>
      <c r="TIR183" s="141"/>
      <c r="TIS183" s="141"/>
      <c r="TIT183" s="141"/>
      <c r="TIU183" s="141"/>
      <c r="TIV183" s="141"/>
      <c r="TIW183" s="141"/>
      <c r="TIX183" s="141"/>
      <c r="TIY183" s="141"/>
      <c r="TIZ183" s="141"/>
      <c r="TJA183" s="141"/>
      <c r="TJB183" s="141"/>
      <c r="TJC183" s="141"/>
      <c r="TJD183" s="141"/>
      <c r="TJE183" s="141"/>
      <c r="TJF183" s="141"/>
      <c r="TJG183" s="141"/>
      <c r="TJH183" s="141"/>
      <c r="TJI183" s="141"/>
      <c r="TJJ183" s="141"/>
      <c r="TJK183" s="141"/>
      <c r="TJL183" s="141"/>
      <c r="TJM183" s="141"/>
      <c r="TJN183" s="141"/>
      <c r="TJO183" s="141"/>
      <c r="TJP183" s="141"/>
      <c r="TJQ183" s="141"/>
      <c r="TJR183" s="141"/>
      <c r="TJS183" s="141"/>
      <c r="TJT183" s="141"/>
      <c r="TJU183" s="141"/>
      <c r="TJV183" s="141"/>
      <c r="TJW183" s="141"/>
      <c r="TJX183" s="141"/>
      <c r="TJY183" s="141"/>
      <c r="TJZ183" s="141"/>
      <c r="TKA183" s="141"/>
      <c r="TKB183" s="141"/>
      <c r="TKC183" s="141"/>
      <c r="TKD183" s="141"/>
      <c r="TKE183" s="141"/>
      <c r="TKF183" s="141"/>
      <c r="TKG183" s="141"/>
      <c r="TKH183" s="141"/>
      <c r="TKI183" s="141"/>
      <c r="TKJ183" s="141"/>
      <c r="TKK183" s="141"/>
      <c r="TKL183" s="141"/>
      <c r="TKM183" s="141"/>
      <c r="TKN183" s="141"/>
      <c r="TKO183" s="141"/>
      <c r="TKP183" s="141"/>
      <c r="TKQ183" s="141"/>
      <c r="TKR183" s="141"/>
      <c r="TKS183" s="141"/>
      <c r="TKT183" s="141"/>
      <c r="TKU183" s="141"/>
      <c r="TKV183" s="141"/>
      <c r="TKW183" s="141"/>
      <c r="TKX183" s="141"/>
      <c r="TKY183" s="141"/>
      <c r="TKZ183" s="141"/>
      <c r="TLA183" s="141"/>
      <c r="TLB183" s="141"/>
      <c r="TLC183" s="141"/>
      <c r="TLD183" s="141"/>
      <c r="TLE183" s="141"/>
      <c r="TLF183" s="141"/>
      <c r="TLG183" s="141"/>
      <c r="TLH183" s="141"/>
      <c r="TLI183" s="141"/>
      <c r="TLJ183" s="141"/>
      <c r="TLK183" s="141"/>
      <c r="TLL183" s="141"/>
      <c r="TLM183" s="141"/>
      <c r="TLN183" s="141"/>
      <c r="TLO183" s="141"/>
      <c r="TLP183" s="141"/>
      <c r="TLQ183" s="141"/>
      <c r="TLR183" s="141"/>
      <c r="TLS183" s="141"/>
      <c r="TLT183" s="141"/>
      <c r="TLU183" s="141"/>
      <c r="TLV183" s="141"/>
      <c r="TLW183" s="141"/>
      <c r="TLX183" s="141"/>
      <c r="TLY183" s="141"/>
      <c r="TLZ183" s="141"/>
      <c r="TMA183" s="141"/>
      <c r="TMB183" s="141"/>
      <c r="TMC183" s="141"/>
      <c r="TMD183" s="141"/>
      <c r="TME183" s="141"/>
      <c r="TMF183" s="141"/>
      <c r="TMG183" s="141"/>
      <c r="TMH183" s="141"/>
      <c r="TMI183" s="141"/>
      <c r="TMJ183" s="141"/>
      <c r="TMK183" s="141"/>
      <c r="TML183" s="141"/>
      <c r="TMM183" s="141"/>
      <c r="TMN183" s="141"/>
      <c r="TMO183" s="141"/>
      <c r="TMP183" s="141"/>
      <c r="TMQ183" s="141"/>
      <c r="TMR183" s="141"/>
      <c r="TMS183" s="141"/>
      <c r="TMT183" s="141"/>
      <c r="TMU183" s="141"/>
      <c r="TMV183" s="141"/>
      <c r="TMW183" s="141"/>
      <c r="TMX183" s="141"/>
      <c r="TMY183" s="141"/>
      <c r="TMZ183" s="141"/>
      <c r="TNA183" s="141"/>
      <c r="TNB183" s="141"/>
      <c r="TNC183" s="141"/>
      <c r="TND183" s="141"/>
      <c r="TNE183" s="141"/>
      <c r="TNF183" s="141"/>
      <c r="TNG183" s="141"/>
      <c r="TNH183" s="141"/>
      <c r="TNI183" s="141"/>
      <c r="TNJ183" s="141"/>
      <c r="TNK183" s="141"/>
      <c r="TNL183" s="141"/>
      <c r="TNM183" s="141"/>
      <c r="TNN183" s="141"/>
      <c r="TNO183" s="141"/>
      <c r="TNP183" s="141"/>
      <c r="TNQ183" s="141"/>
      <c r="TNR183" s="141"/>
      <c r="TNS183" s="141"/>
      <c r="TNT183" s="141"/>
      <c r="TNU183" s="141"/>
      <c r="TNV183" s="141"/>
      <c r="TNW183" s="141"/>
      <c r="TNX183" s="141"/>
      <c r="TNY183" s="141"/>
      <c r="TNZ183" s="141"/>
      <c r="TOA183" s="141"/>
      <c r="TOB183" s="141"/>
      <c r="TOC183" s="141"/>
      <c r="TOD183" s="141"/>
      <c r="TOE183" s="141"/>
      <c r="TOF183" s="141"/>
      <c r="TOG183" s="141"/>
      <c r="TOH183" s="141"/>
      <c r="TOI183" s="141"/>
      <c r="TOJ183" s="141"/>
      <c r="TOK183" s="141"/>
      <c r="TOL183" s="141"/>
      <c r="TOM183" s="141"/>
      <c r="TON183" s="141"/>
      <c r="TOO183" s="141"/>
      <c r="TOP183" s="141"/>
      <c r="TOQ183" s="141"/>
      <c r="TOR183" s="141"/>
      <c r="TOS183" s="141"/>
      <c r="TOT183" s="141"/>
      <c r="TOU183" s="141"/>
      <c r="TOV183" s="141"/>
      <c r="TOW183" s="141"/>
      <c r="TOX183" s="141"/>
      <c r="TOY183" s="141"/>
      <c r="TOZ183" s="141"/>
      <c r="TPA183" s="141"/>
      <c r="TPB183" s="141"/>
      <c r="TPC183" s="141"/>
      <c r="TPD183" s="141"/>
      <c r="TPE183" s="141"/>
      <c r="TPF183" s="141"/>
      <c r="TPG183" s="141"/>
      <c r="TPH183" s="141"/>
      <c r="TPI183" s="141"/>
      <c r="TPJ183" s="141"/>
      <c r="TPK183" s="141"/>
      <c r="TPL183" s="141"/>
      <c r="TPM183" s="141"/>
      <c r="TPN183" s="141"/>
      <c r="TPO183" s="141"/>
      <c r="TPP183" s="141"/>
      <c r="TPQ183" s="141"/>
      <c r="TPR183" s="141"/>
      <c r="TPS183" s="141"/>
      <c r="TPT183" s="141"/>
      <c r="TPU183" s="141"/>
      <c r="TPV183" s="141"/>
      <c r="TPW183" s="141"/>
      <c r="TPX183" s="141"/>
      <c r="TPY183" s="141"/>
      <c r="TPZ183" s="141"/>
      <c r="TQA183" s="141"/>
      <c r="TQB183" s="141"/>
      <c r="TQC183" s="141"/>
      <c r="TQD183" s="141"/>
      <c r="TQE183" s="141"/>
      <c r="TQF183" s="141"/>
      <c r="TQG183" s="141"/>
      <c r="TQH183" s="141"/>
      <c r="TQI183" s="141"/>
      <c r="TQJ183" s="141"/>
      <c r="TQK183" s="141"/>
      <c r="TQL183" s="141"/>
      <c r="TQM183" s="141"/>
      <c r="TQN183" s="141"/>
      <c r="TQO183" s="141"/>
      <c r="TQP183" s="141"/>
      <c r="TQQ183" s="141"/>
      <c r="TQR183" s="141"/>
      <c r="TQS183" s="141"/>
      <c r="TQT183" s="141"/>
      <c r="TQU183" s="141"/>
      <c r="TQV183" s="141"/>
      <c r="TQW183" s="141"/>
      <c r="TQX183" s="141"/>
      <c r="TQY183" s="141"/>
      <c r="TQZ183" s="141"/>
      <c r="TRA183" s="141"/>
      <c r="TRB183" s="141"/>
      <c r="TRC183" s="141"/>
      <c r="TRD183" s="141"/>
      <c r="TRE183" s="141"/>
      <c r="TRF183" s="141"/>
      <c r="TRG183" s="141"/>
      <c r="TRH183" s="141"/>
      <c r="TRI183" s="141"/>
      <c r="TRJ183" s="141"/>
      <c r="TRK183" s="141"/>
      <c r="TRL183" s="141"/>
      <c r="TRM183" s="141"/>
      <c r="TRN183" s="141"/>
      <c r="TRO183" s="141"/>
      <c r="TRP183" s="141"/>
      <c r="TRQ183" s="141"/>
      <c r="TRR183" s="141"/>
      <c r="TRS183" s="141"/>
      <c r="TRT183" s="141"/>
      <c r="TRU183" s="141"/>
      <c r="TRV183" s="141"/>
      <c r="TRW183" s="141"/>
      <c r="TRX183" s="141"/>
      <c r="TRY183" s="141"/>
      <c r="TRZ183" s="141"/>
      <c r="TSA183" s="141"/>
      <c r="TSB183" s="141"/>
      <c r="TSC183" s="141"/>
      <c r="TSD183" s="141"/>
      <c r="TSE183" s="141"/>
      <c r="TSF183" s="141"/>
      <c r="TSG183" s="141"/>
      <c r="TSH183" s="141"/>
      <c r="TSI183" s="141"/>
      <c r="TSJ183" s="141"/>
      <c r="TSK183" s="141"/>
      <c r="TSL183" s="141"/>
      <c r="TSM183" s="141"/>
      <c r="TSN183" s="141"/>
      <c r="TSO183" s="141"/>
      <c r="TSP183" s="141"/>
      <c r="TSQ183" s="141"/>
      <c r="TSR183" s="141"/>
      <c r="TSS183" s="141"/>
      <c r="TST183" s="141"/>
      <c r="TSU183" s="141"/>
      <c r="TSV183" s="141"/>
      <c r="TSW183" s="141"/>
      <c r="TSX183" s="141"/>
      <c r="TSY183" s="141"/>
      <c r="TSZ183" s="141"/>
      <c r="TTA183" s="141"/>
      <c r="TTB183" s="141"/>
      <c r="TTC183" s="141"/>
      <c r="TTD183" s="141"/>
      <c r="TTE183" s="141"/>
      <c r="TTF183" s="141"/>
      <c r="TTG183" s="141"/>
      <c r="TTH183" s="141"/>
      <c r="TTI183" s="141"/>
      <c r="TTJ183" s="141"/>
      <c r="TTK183" s="141"/>
      <c r="TTL183" s="141"/>
      <c r="TTM183" s="141"/>
      <c r="TTN183" s="141"/>
      <c r="TTO183" s="141"/>
      <c r="TTP183" s="141"/>
      <c r="TTQ183" s="141"/>
      <c r="TTR183" s="141"/>
      <c r="TTS183" s="141"/>
      <c r="TTT183" s="141"/>
      <c r="TTU183" s="141"/>
      <c r="TTV183" s="141"/>
      <c r="TTW183" s="141"/>
      <c r="TTX183" s="141"/>
      <c r="TTY183" s="141"/>
      <c r="TTZ183" s="141"/>
      <c r="TUA183" s="141"/>
      <c r="TUB183" s="141"/>
      <c r="TUC183" s="141"/>
      <c r="TUD183" s="141"/>
      <c r="TUE183" s="141"/>
      <c r="TUF183" s="141"/>
      <c r="TUG183" s="141"/>
      <c r="TUH183" s="141"/>
      <c r="TUI183" s="141"/>
      <c r="TUJ183" s="141"/>
      <c r="TUK183" s="141"/>
      <c r="TUL183" s="141"/>
      <c r="TUM183" s="141"/>
      <c r="TUN183" s="141"/>
      <c r="TUO183" s="141"/>
      <c r="TUP183" s="141"/>
      <c r="TUQ183" s="141"/>
      <c r="TUR183" s="141"/>
      <c r="TUS183" s="141"/>
      <c r="TUT183" s="141"/>
      <c r="TUU183" s="141"/>
      <c r="TUV183" s="141"/>
      <c r="TUW183" s="141"/>
      <c r="TUX183" s="141"/>
      <c r="TUY183" s="141"/>
      <c r="TUZ183" s="141"/>
      <c r="TVA183" s="141"/>
      <c r="TVB183" s="141"/>
      <c r="TVC183" s="141"/>
      <c r="TVD183" s="141"/>
      <c r="TVE183" s="141"/>
      <c r="TVF183" s="141"/>
      <c r="TVG183" s="141"/>
      <c r="TVH183" s="141"/>
      <c r="TVI183" s="141"/>
      <c r="TVJ183" s="141"/>
      <c r="TVK183" s="141"/>
      <c r="TVL183" s="141"/>
      <c r="TVM183" s="141"/>
      <c r="TVN183" s="141"/>
      <c r="TVO183" s="141"/>
      <c r="TVP183" s="141"/>
      <c r="TVQ183" s="141"/>
      <c r="TVR183" s="141"/>
      <c r="TVS183" s="141"/>
      <c r="TVT183" s="141"/>
      <c r="TVU183" s="141"/>
      <c r="TVV183" s="141"/>
      <c r="TVW183" s="141"/>
      <c r="TVX183" s="141"/>
      <c r="TVY183" s="141"/>
      <c r="TVZ183" s="141"/>
      <c r="TWA183" s="141"/>
      <c r="TWB183" s="141"/>
      <c r="TWC183" s="141"/>
      <c r="TWD183" s="141"/>
      <c r="TWE183" s="141"/>
      <c r="TWF183" s="141"/>
      <c r="TWG183" s="141"/>
      <c r="TWH183" s="141"/>
      <c r="TWI183" s="141"/>
      <c r="TWJ183" s="141"/>
      <c r="TWK183" s="141"/>
      <c r="TWL183" s="141"/>
      <c r="TWM183" s="141"/>
      <c r="TWN183" s="141"/>
      <c r="TWO183" s="141"/>
      <c r="TWP183" s="141"/>
      <c r="TWQ183" s="141"/>
      <c r="TWR183" s="141"/>
      <c r="TWS183" s="141"/>
      <c r="TWT183" s="141"/>
      <c r="TWU183" s="141"/>
      <c r="TWV183" s="141"/>
      <c r="TWW183" s="141"/>
      <c r="TWX183" s="141"/>
      <c r="TWY183" s="141"/>
      <c r="TWZ183" s="141"/>
      <c r="TXA183" s="141"/>
      <c r="TXB183" s="141"/>
      <c r="TXC183" s="141"/>
      <c r="TXD183" s="141"/>
      <c r="TXE183" s="141"/>
      <c r="TXF183" s="141"/>
      <c r="TXG183" s="141"/>
      <c r="TXH183" s="141"/>
      <c r="TXI183" s="141"/>
      <c r="TXJ183" s="141"/>
      <c r="TXK183" s="141"/>
      <c r="TXL183" s="141"/>
      <c r="TXM183" s="141"/>
      <c r="TXN183" s="141"/>
      <c r="TXO183" s="141"/>
      <c r="TXP183" s="141"/>
      <c r="TXQ183" s="141"/>
      <c r="TXR183" s="141"/>
      <c r="TXS183" s="141"/>
      <c r="TXT183" s="141"/>
      <c r="TXU183" s="141"/>
      <c r="TXV183" s="141"/>
      <c r="TXW183" s="141"/>
      <c r="TXX183" s="141"/>
      <c r="TXY183" s="141"/>
      <c r="TXZ183" s="141"/>
      <c r="TYA183" s="141"/>
      <c r="TYB183" s="141"/>
      <c r="TYC183" s="141"/>
      <c r="TYD183" s="141"/>
      <c r="TYE183" s="141"/>
      <c r="TYF183" s="141"/>
      <c r="TYG183" s="141"/>
      <c r="TYH183" s="141"/>
      <c r="TYI183" s="141"/>
      <c r="TYJ183" s="141"/>
      <c r="TYK183" s="141"/>
      <c r="TYL183" s="141"/>
      <c r="TYM183" s="141"/>
      <c r="TYN183" s="141"/>
      <c r="TYO183" s="141"/>
      <c r="TYP183" s="141"/>
      <c r="TYQ183" s="141"/>
      <c r="TYR183" s="141"/>
      <c r="TYS183" s="141"/>
      <c r="TYT183" s="141"/>
      <c r="TYU183" s="141"/>
      <c r="TYV183" s="141"/>
      <c r="TYW183" s="141"/>
      <c r="TYX183" s="141"/>
      <c r="TYY183" s="141"/>
      <c r="TYZ183" s="141"/>
      <c r="TZA183" s="141"/>
      <c r="TZB183" s="141"/>
      <c r="TZC183" s="141"/>
      <c r="TZD183" s="141"/>
      <c r="TZE183" s="141"/>
      <c r="TZF183" s="141"/>
      <c r="TZG183" s="141"/>
      <c r="TZH183" s="141"/>
      <c r="TZI183" s="141"/>
      <c r="TZJ183" s="141"/>
      <c r="TZK183" s="141"/>
      <c r="TZL183" s="141"/>
      <c r="TZM183" s="141"/>
      <c r="TZN183" s="141"/>
      <c r="TZO183" s="141"/>
      <c r="TZP183" s="141"/>
      <c r="TZQ183" s="141"/>
      <c r="TZR183" s="141"/>
      <c r="TZS183" s="141"/>
      <c r="TZT183" s="141"/>
      <c r="TZU183" s="141"/>
      <c r="TZV183" s="141"/>
      <c r="TZW183" s="141"/>
      <c r="TZX183" s="141"/>
      <c r="TZY183" s="141"/>
      <c r="TZZ183" s="141"/>
      <c r="UAA183" s="141"/>
      <c r="UAB183" s="141"/>
      <c r="UAC183" s="141"/>
      <c r="UAD183" s="141"/>
      <c r="UAE183" s="141"/>
      <c r="UAF183" s="141"/>
      <c r="UAG183" s="141"/>
      <c r="UAH183" s="141"/>
      <c r="UAI183" s="141"/>
      <c r="UAJ183" s="141"/>
      <c r="UAK183" s="141"/>
      <c r="UAL183" s="141"/>
      <c r="UAM183" s="141"/>
      <c r="UAN183" s="141"/>
      <c r="UAO183" s="141"/>
      <c r="UAP183" s="141"/>
      <c r="UAQ183" s="141"/>
      <c r="UAR183" s="141"/>
      <c r="UAS183" s="141"/>
      <c r="UAT183" s="141"/>
      <c r="UAU183" s="141"/>
      <c r="UAV183" s="141"/>
      <c r="UAW183" s="141"/>
      <c r="UAX183" s="141"/>
      <c r="UAY183" s="141"/>
      <c r="UAZ183" s="141"/>
      <c r="UBA183" s="141"/>
      <c r="UBB183" s="141"/>
      <c r="UBC183" s="141"/>
      <c r="UBD183" s="141"/>
      <c r="UBE183" s="141"/>
      <c r="UBF183" s="141"/>
      <c r="UBG183" s="141"/>
      <c r="UBH183" s="141"/>
      <c r="UBI183" s="141"/>
      <c r="UBJ183" s="141"/>
      <c r="UBK183" s="141"/>
      <c r="UBL183" s="141"/>
      <c r="UBM183" s="141"/>
      <c r="UBN183" s="141"/>
      <c r="UBO183" s="141"/>
      <c r="UBP183" s="141"/>
      <c r="UBQ183" s="141"/>
      <c r="UBR183" s="141"/>
      <c r="UBS183" s="141"/>
      <c r="UBT183" s="141"/>
      <c r="UBU183" s="141"/>
      <c r="UBV183" s="141"/>
      <c r="UBW183" s="141"/>
      <c r="UBX183" s="141"/>
      <c r="UBY183" s="141"/>
      <c r="UBZ183" s="141"/>
      <c r="UCA183" s="141"/>
      <c r="UCB183" s="141"/>
      <c r="UCC183" s="141"/>
      <c r="UCD183" s="141"/>
      <c r="UCE183" s="141"/>
      <c r="UCF183" s="141"/>
      <c r="UCG183" s="141"/>
      <c r="UCH183" s="141"/>
      <c r="UCI183" s="141"/>
      <c r="UCJ183" s="141"/>
      <c r="UCK183" s="141"/>
      <c r="UCL183" s="141"/>
      <c r="UCM183" s="141"/>
      <c r="UCN183" s="141"/>
      <c r="UCO183" s="141"/>
      <c r="UCP183" s="141"/>
      <c r="UCQ183" s="141"/>
      <c r="UCR183" s="141"/>
      <c r="UCS183" s="141"/>
      <c r="UCT183" s="141"/>
      <c r="UCU183" s="141"/>
      <c r="UCV183" s="141"/>
      <c r="UCW183" s="141"/>
      <c r="UCX183" s="141"/>
      <c r="UCY183" s="141"/>
      <c r="UCZ183" s="141"/>
      <c r="UDA183" s="141"/>
      <c r="UDB183" s="141"/>
      <c r="UDC183" s="141"/>
      <c r="UDD183" s="141"/>
      <c r="UDE183" s="141"/>
      <c r="UDF183" s="141"/>
      <c r="UDG183" s="141"/>
      <c r="UDH183" s="141"/>
      <c r="UDI183" s="141"/>
      <c r="UDJ183" s="141"/>
      <c r="UDK183" s="141"/>
      <c r="UDL183" s="141"/>
      <c r="UDM183" s="141"/>
      <c r="UDN183" s="141"/>
      <c r="UDO183" s="141"/>
      <c r="UDP183" s="141"/>
      <c r="UDQ183" s="141"/>
      <c r="UDR183" s="141"/>
      <c r="UDS183" s="141"/>
      <c r="UDT183" s="141"/>
      <c r="UDU183" s="141"/>
      <c r="UDV183" s="141"/>
      <c r="UDW183" s="141"/>
      <c r="UDX183" s="141"/>
      <c r="UDY183" s="141"/>
      <c r="UDZ183" s="141"/>
      <c r="UEA183" s="141"/>
      <c r="UEB183" s="141"/>
      <c r="UEC183" s="141"/>
      <c r="UED183" s="141"/>
      <c r="UEE183" s="141"/>
      <c r="UEF183" s="141"/>
      <c r="UEG183" s="141"/>
      <c r="UEH183" s="141"/>
      <c r="UEI183" s="141"/>
      <c r="UEJ183" s="141"/>
      <c r="UEK183" s="141"/>
      <c r="UEL183" s="141"/>
      <c r="UEM183" s="141"/>
      <c r="UEN183" s="141"/>
      <c r="UEO183" s="141"/>
      <c r="UEP183" s="141"/>
      <c r="UEQ183" s="141"/>
      <c r="UER183" s="141"/>
      <c r="UES183" s="141"/>
      <c r="UET183" s="141"/>
      <c r="UEU183" s="141"/>
      <c r="UEV183" s="141"/>
      <c r="UEW183" s="141"/>
      <c r="UEX183" s="141"/>
      <c r="UEY183" s="141"/>
      <c r="UEZ183" s="141"/>
      <c r="UFA183" s="141"/>
      <c r="UFB183" s="141"/>
      <c r="UFC183" s="141"/>
      <c r="UFD183" s="141"/>
      <c r="UFE183" s="141"/>
      <c r="UFF183" s="141"/>
      <c r="UFG183" s="141"/>
      <c r="UFH183" s="141"/>
      <c r="UFI183" s="141"/>
      <c r="UFJ183" s="141"/>
      <c r="UFK183" s="141"/>
      <c r="UFL183" s="141"/>
      <c r="UFM183" s="141"/>
      <c r="UFN183" s="141"/>
      <c r="UFO183" s="141"/>
      <c r="UFP183" s="141"/>
      <c r="UFQ183" s="141"/>
      <c r="UFR183" s="141"/>
      <c r="UFS183" s="141"/>
      <c r="UFT183" s="141"/>
      <c r="UFU183" s="141"/>
      <c r="UFV183" s="141"/>
      <c r="UFW183" s="141"/>
      <c r="UFX183" s="141"/>
      <c r="UFY183" s="141"/>
      <c r="UFZ183" s="141"/>
      <c r="UGA183" s="141"/>
      <c r="UGB183" s="141"/>
      <c r="UGC183" s="141"/>
      <c r="UGD183" s="141"/>
      <c r="UGE183" s="141"/>
      <c r="UGF183" s="141"/>
      <c r="UGG183" s="141"/>
      <c r="UGH183" s="141"/>
      <c r="UGI183" s="141"/>
      <c r="UGJ183" s="141"/>
      <c r="UGK183" s="141"/>
      <c r="UGL183" s="141"/>
      <c r="UGM183" s="141"/>
      <c r="UGN183" s="141"/>
      <c r="UGO183" s="141"/>
      <c r="UGP183" s="141"/>
      <c r="UGQ183" s="141"/>
      <c r="UGR183" s="141"/>
      <c r="UGS183" s="141"/>
      <c r="UGT183" s="141"/>
      <c r="UGU183" s="141"/>
      <c r="UGV183" s="141"/>
      <c r="UGW183" s="141"/>
      <c r="UGX183" s="141"/>
      <c r="UGY183" s="141"/>
      <c r="UGZ183" s="141"/>
      <c r="UHA183" s="141"/>
      <c r="UHB183" s="141"/>
      <c r="UHC183" s="141"/>
      <c r="UHD183" s="141"/>
      <c r="UHE183" s="141"/>
      <c r="UHF183" s="141"/>
      <c r="UHG183" s="141"/>
      <c r="UHH183" s="141"/>
      <c r="UHI183" s="141"/>
      <c r="UHJ183" s="141"/>
      <c r="UHK183" s="141"/>
      <c r="UHL183" s="141"/>
      <c r="UHM183" s="141"/>
      <c r="UHN183" s="141"/>
      <c r="UHO183" s="141"/>
      <c r="UHP183" s="141"/>
      <c r="UHQ183" s="141"/>
      <c r="UHR183" s="141"/>
      <c r="UHS183" s="141"/>
      <c r="UHT183" s="141"/>
      <c r="UHU183" s="141"/>
      <c r="UHV183" s="141"/>
      <c r="UHW183" s="141"/>
      <c r="UHX183" s="141"/>
      <c r="UHY183" s="141"/>
      <c r="UHZ183" s="141"/>
      <c r="UIA183" s="141"/>
      <c r="UIB183" s="141"/>
      <c r="UIC183" s="141"/>
      <c r="UID183" s="141"/>
      <c r="UIE183" s="141"/>
      <c r="UIF183" s="141"/>
      <c r="UIG183" s="141"/>
      <c r="UIH183" s="141"/>
      <c r="UII183" s="141"/>
      <c r="UIJ183" s="141"/>
      <c r="UIK183" s="141"/>
      <c r="UIL183" s="141"/>
      <c r="UIM183" s="141"/>
      <c r="UIN183" s="141"/>
      <c r="UIO183" s="141"/>
      <c r="UIP183" s="141"/>
      <c r="UIQ183" s="141"/>
      <c r="UIR183" s="141"/>
      <c r="UIS183" s="141"/>
      <c r="UIT183" s="141"/>
      <c r="UIU183" s="141"/>
      <c r="UIV183" s="141"/>
      <c r="UIW183" s="141"/>
      <c r="UIX183" s="141"/>
      <c r="UIY183" s="141"/>
      <c r="UIZ183" s="141"/>
      <c r="UJA183" s="141"/>
      <c r="UJB183" s="141"/>
      <c r="UJC183" s="141"/>
      <c r="UJD183" s="141"/>
      <c r="UJE183" s="141"/>
      <c r="UJF183" s="141"/>
      <c r="UJG183" s="141"/>
      <c r="UJH183" s="141"/>
      <c r="UJI183" s="141"/>
      <c r="UJJ183" s="141"/>
      <c r="UJK183" s="141"/>
      <c r="UJL183" s="141"/>
      <c r="UJM183" s="141"/>
      <c r="UJN183" s="141"/>
      <c r="UJO183" s="141"/>
      <c r="UJP183" s="141"/>
      <c r="UJQ183" s="141"/>
      <c r="UJR183" s="141"/>
      <c r="UJS183" s="141"/>
      <c r="UJT183" s="141"/>
      <c r="UJU183" s="141"/>
      <c r="UJV183" s="141"/>
      <c r="UJW183" s="141"/>
      <c r="UJX183" s="141"/>
      <c r="UJY183" s="141"/>
      <c r="UJZ183" s="141"/>
      <c r="UKA183" s="141"/>
      <c r="UKB183" s="141"/>
      <c r="UKC183" s="141"/>
      <c r="UKD183" s="141"/>
      <c r="UKE183" s="141"/>
      <c r="UKF183" s="141"/>
      <c r="UKG183" s="141"/>
      <c r="UKH183" s="141"/>
      <c r="UKI183" s="141"/>
      <c r="UKJ183" s="141"/>
      <c r="UKK183" s="141"/>
      <c r="UKL183" s="141"/>
      <c r="UKM183" s="141"/>
      <c r="UKN183" s="141"/>
      <c r="UKO183" s="141"/>
      <c r="UKP183" s="141"/>
      <c r="UKQ183" s="141"/>
      <c r="UKR183" s="141"/>
      <c r="UKS183" s="141"/>
      <c r="UKT183" s="141"/>
      <c r="UKU183" s="141"/>
      <c r="UKV183" s="141"/>
      <c r="UKW183" s="141"/>
      <c r="UKX183" s="141"/>
      <c r="UKY183" s="141"/>
      <c r="UKZ183" s="141"/>
      <c r="ULA183" s="141"/>
      <c r="ULB183" s="141"/>
      <c r="ULC183" s="141"/>
      <c r="ULD183" s="141"/>
      <c r="ULE183" s="141"/>
      <c r="ULF183" s="141"/>
      <c r="ULG183" s="141"/>
      <c r="ULH183" s="141"/>
      <c r="ULI183" s="141"/>
      <c r="ULJ183" s="141"/>
      <c r="ULK183" s="141"/>
      <c r="ULL183" s="141"/>
      <c r="ULM183" s="141"/>
      <c r="ULN183" s="141"/>
      <c r="ULO183" s="141"/>
      <c r="ULP183" s="141"/>
      <c r="ULQ183" s="141"/>
      <c r="ULR183" s="141"/>
      <c r="ULS183" s="141"/>
      <c r="ULT183" s="141"/>
      <c r="ULU183" s="141"/>
      <c r="ULV183" s="141"/>
      <c r="ULW183" s="141"/>
      <c r="ULX183" s="141"/>
      <c r="ULY183" s="141"/>
      <c r="ULZ183" s="141"/>
      <c r="UMA183" s="141"/>
      <c r="UMB183" s="141"/>
      <c r="UMC183" s="141"/>
      <c r="UMD183" s="141"/>
      <c r="UME183" s="141"/>
      <c r="UMF183" s="141"/>
      <c r="UMG183" s="141"/>
      <c r="UMH183" s="141"/>
      <c r="UMI183" s="141"/>
      <c r="UMJ183" s="141"/>
      <c r="UMK183" s="141"/>
      <c r="UML183" s="141"/>
      <c r="UMM183" s="141"/>
      <c r="UMN183" s="141"/>
      <c r="UMO183" s="141"/>
      <c r="UMP183" s="141"/>
      <c r="UMQ183" s="141"/>
      <c r="UMR183" s="141"/>
      <c r="UMS183" s="141"/>
      <c r="UMT183" s="141"/>
      <c r="UMU183" s="141"/>
      <c r="UMV183" s="141"/>
      <c r="UMW183" s="141"/>
      <c r="UMX183" s="141"/>
      <c r="UMY183" s="141"/>
      <c r="UMZ183" s="141"/>
      <c r="UNA183" s="141"/>
      <c r="UNB183" s="141"/>
      <c r="UNC183" s="141"/>
      <c r="UND183" s="141"/>
      <c r="UNE183" s="141"/>
      <c r="UNF183" s="141"/>
      <c r="UNG183" s="141"/>
      <c r="UNH183" s="141"/>
      <c r="UNI183" s="141"/>
      <c r="UNJ183" s="141"/>
      <c r="UNK183" s="141"/>
      <c r="UNL183" s="141"/>
      <c r="UNM183" s="141"/>
      <c r="UNN183" s="141"/>
      <c r="UNO183" s="141"/>
      <c r="UNP183" s="141"/>
      <c r="UNQ183" s="141"/>
      <c r="UNR183" s="141"/>
      <c r="UNS183" s="141"/>
      <c r="UNT183" s="141"/>
      <c r="UNU183" s="141"/>
      <c r="UNV183" s="141"/>
      <c r="UNW183" s="141"/>
      <c r="UNX183" s="141"/>
      <c r="UNY183" s="141"/>
      <c r="UNZ183" s="141"/>
      <c r="UOA183" s="141"/>
      <c r="UOB183" s="141"/>
      <c r="UOC183" s="141"/>
      <c r="UOD183" s="141"/>
      <c r="UOE183" s="141"/>
      <c r="UOF183" s="141"/>
      <c r="UOG183" s="141"/>
      <c r="UOH183" s="141"/>
      <c r="UOI183" s="141"/>
      <c r="UOJ183" s="141"/>
      <c r="UOK183" s="141"/>
      <c r="UOL183" s="141"/>
      <c r="UOM183" s="141"/>
      <c r="UON183" s="141"/>
      <c r="UOO183" s="141"/>
      <c r="UOP183" s="141"/>
      <c r="UOQ183" s="141"/>
      <c r="UOR183" s="141"/>
      <c r="UOS183" s="141"/>
      <c r="UOT183" s="141"/>
      <c r="UOU183" s="141"/>
      <c r="UOV183" s="141"/>
      <c r="UOW183" s="141"/>
      <c r="UOX183" s="141"/>
      <c r="UOY183" s="141"/>
      <c r="UOZ183" s="141"/>
      <c r="UPA183" s="141"/>
      <c r="UPB183" s="141"/>
      <c r="UPC183" s="141"/>
      <c r="UPD183" s="141"/>
      <c r="UPE183" s="141"/>
      <c r="UPF183" s="141"/>
      <c r="UPG183" s="141"/>
      <c r="UPH183" s="141"/>
      <c r="UPI183" s="141"/>
      <c r="UPJ183" s="141"/>
      <c r="UPK183" s="141"/>
      <c r="UPL183" s="141"/>
      <c r="UPM183" s="141"/>
      <c r="UPN183" s="141"/>
      <c r="UPO183" s="141"/>
      <c r="UPP183" s="141"/>
      <c r="UPQ183" s="141"/>
      <c r="UPR183" s="141"/>
      <c r="UPS183" s="141"/>
      <c r="UPT183" s="141"/>
      <c r="UPU183" s="141"/>
      <c r="UPV183" s="141"/>
      <c r="UPW183" s="141"/>
      <c r="UPX183" s="141"/>
      <c r="UPY183" s="141"/>
      <c r="UPZ183" s="141"/>
      <c r="UQA183" s="141"/>
      <c r="UQB183" s="141"/>
      <c r="UQC183" s="141"/>
      <c r="UQD183" s="141"/>
      <c r="UQE183" s="141"/>
      <c r="UQF183" s="141"/>
      <c r="UQG183" s="141"/>
      <c r="UQH183" s="141"/>
      <c r="UQI183" s="141"/>
      <c r="UQJ183" s="141"/>
      <c r="UQK183" s="141"/>
      <c r="UQL183" s="141"/>
      <c r="UQM183" s="141"/>
      <c r="UQN183" s="141"/>
      <c r="UQO183" s="141"/>
      <c r="UQP183" s="141"/>
      <c r="UQQ183" s="141"/>
      <c r="UQR183" s="141"/>
      <c r="UQS183" s="141"/>
      <c r="UQT183" s="141"/>
      <c r="UQU183" s="141"/>
      <c r="UQV183" s="141"/>
      <c r="UQW183" s="141"/>
      <c r="UQX183" s="141"/>
      <c r="UQY183" s="141"/>
      <c r="UQZ183" s="141"/>
      <c r="URA183" s="141"/>
      <c r="URB183" s="141"/>
      <c r="URC183" s="141"/>
      <c r="URD183" s="141"/>
      <c r="URE183" s="141"/>
      <c r="URF183" s="141"/>
      <c r="URG183" s="141"/>
      <c r="URH183" s="141"/>
      <c r="URI183" s="141"/>
      <c r="URJ183" s="141"/>
      <c r="URK183" s="141"/>
      <c r="URL183" s="141"/>
      <c r="URM183" s="141"/>
      <c r="URN183" s="141"/>
      <c r="URO183" s="141"/>
      <c r="URP183" s="141"/>
      <c r="URQ183" s="141"/>
      <c r="URR183" s="141"/>
      <c r="URS183" s="141"/>
      <c r="URT183" s="141"/>
      <c r="URU183" s="141"/>
      <c r="URV183" s="141"/>
      <c r="URW183" s="141"/>
      <c r="URX183" s="141"/>
      <c r="URY183" s="141"/>
      <c r="URZ183" s="141"/>
      <c r="USA183" s="141"/>
      <c r="USB183" s="141"/>
      <c r="USC183" s="141"/>
      <c r="USD183" s="141"/>
      <c r="USE183" s="141"/>
      <c r="USF183" s="141"/>
      <c r="USG183" s="141"/>
      <c r="USH183" s="141"/>
      <c r="USI183" s="141"/>
      <c r="USJ183" s="141"/>
      <c r="USK183" s="141"/>
      <c r="USL183" s="141"/>
      <c r="USM183" s="141"/>
      <c r="USN183" s="141"/>
      <c r="USO183" s="141"/>
      <c r="USP183" s="141"/>
      <c r="USQ183" s="141"/>
      <c r="USR183" s="141"/>
      <c r="USS183" s="141"/>
      <c r="UST183" s="141"/>
      <c r="USU183" s="141"/>
      <c r="USV183" s="141"/>
      <c r="USW183" s="141"/>
      <c r="USX183" s="141"/>
      <c r="USY183" s="141"/>
      <c r="USZ183" s="141"/>
      <c r="UTA183" s="141"/>
      <c r="UTB183" s="141"/>
      <c r="UTC183" s="141"/>
      <c r="UTD183" s="141"/>
      <c r="UTE183" s="141"/>
      <c r="UTF183" s="141"/>
      <c r="UTG183" s="141"/>
      <c r="UTH183" s="141"/>
      <c r="UTI183" s="141"/>
      <c r="UTJ183" s="141"/>
      <c r="UTK183" s="141"/>
      <c r="UTL183" s="141"/>
      <c r="UTM183" s="141"/>
      <c r="UTN183" s="141"/>
      <c r="UTO183" s="141"/>
      <c r="UTP183" s="141"/>
      <c r="UTQ183" s="141"/>
      <c r="UTR183" s="141"/>
      <c r="UTS183" s="141"/>
      <c r="UTT183" s="141"/>
      <c r="UTU183" s="141"/>
      <c r="UTV183" s="141"/>
      <c r="UTW183" s="141"/>
      <c r="UTX183" s="141"/>
      <c r="UTY183" s="141"/>
      <c r="UTZ183" s="141"/>
      <c r="UUA183" s="141"/>
      <c r="UUB183" s="141"/>
      <c r="UUC183" s="141"/>
      <c r="UUD183" s="141"/>
      <c r="UUE183" s="141"/>
      <c r="UUF183" s="141"/>
      <c r="UUG183" s="141"/>
      <c r="UUH183" s="141"/>
      <c r="UUI183" s="141"/>
      <c r="UUJ183" s="141"/>
      <c r="UUK183" s="141"/>
      <c r="UUL183" s="141"/>
      <c r="UUM183" s="141"/>
      <c r="UUN183" s="141"/>
      <c r="UUO183" s="141"/>
      <c r="UUP183" s="141"/>
      <c r="UUQ183" s="141"/>
      <c r="UUR183" s="141"/>
      <c r="UUS183" s="141"/>
      <c r="UUT183" s="141"/>
      <c r="UUU183" s="141"/>
      <c r="UUV183" s="141"/>
      <c r="UUW183" s="141"/>
      <c r="UUX183" s="141"/>
      <c r="UUY183" s="141"/>
      <c r="UUZ183" s="141"/>
      <c r="UVA183" s="141"/>
      <c r="UVB183" s="141"/>
      <c r="UVC183" s="141"/>
      <c r="UVD183" s="141"/>
      <c r="UVE183" s="141"/>
      <c r="UVF183" s="141"/>
      <c r="UVG183" s="141"/>
      <c r="UVH183" s="141"/>
      <c r="UVI183" s="141"/>
      <c r="UVJ183" s="141"/>
      <c r="UVK183" s="141"/>
      <c r="UVL183" s="141"/>
      <c r="UVM183" s="141"/>
      <c r="UVN183" s="141"/>
      <c r="UVO183" s="141"/>
      <c r="UVP183" s="141"/>
      <c r="UVQ183" s="141"/>
      <c r="UVR183" s="141"/>
      <c r="UVS183" s="141"/>
      <c r="UVT183" s="141"/>
      <c r="UVU183" s="141"/>
      <c r="UVV183" s="141"/>
      <c r="UVW183" s="141"/>
      <c r="UVX183" s="141"/>
      <c r="UVY183" s="141"/>
      <c r="UVZ183" s="141"/>
      <c r="UWA183" s="141"/>
      <c r="UWB183" s="141"/>
      <c r="UWC183" s="141"/>
      <c r="UWD183" s="141"/>
      <c r="UWE183" s="141"/>
      <c r="UWF183" s="141"/>
      <c r="UWG183" s="141"/>
      <c r="UWH183" s="141"/>
      <c r="UWI183" s="141"/>
      <c r="UWJ183" s="141"/>
      <c r="UWK183" s="141"/>
      <c r="UWL183" s="141"/>
      <c r="UWM183" s="141"/>
      <c r="UWN183" s="141"/>
      <c r="UWO183" s="141"/>
      <c r="UWP183" s="141"/>
      <c r="UWQ183" s="141"/>
      <c r="UWR183" s="141"/>
      <c r="UWS183" s="141"/>
      <c r="UWT183" s="141"/>
      <c r="UWU183" s="141"/>
      <c r="UWV183" s="141"/>
      <c r="UWW183" s="141"/>
      <c r="UWX183" s="141"/>
      <c r="UWY183" s="141"/>
      <c r="UWZ183" s="141"/>
      <c r="UXA183" s="141"/>
      <c r="UXB183" s="141"/>
      <c r="UXC183" s="141"/>
      <c r="UXD183" s="141"/>
      <c r="UXE183" s="141"/>
      <c r="UXF183" s="141"/>
      <c r="UXG183" s="141"/>
      <c r="UXH183" s="141"/>
      <c r="UXI183" s="141"/>
      <c r="UXJ183" s="141"/>
      <c r="UXK183" s="141"/>
      <c r="UXL183" s="141"/>
      <c r="UXM183" s="141"/>
      <c r="UXN183" s="141"/>
      <c r="UXO183" s="141"/>
      <c r="UXP183" s="141"/>
      <c r="UXQ183" s="141"/>
      <c r="UXR183" s="141"/>
      <c r="UXS183" s="141"/>
      <c r="UXT183" s="141"/>
      <c r="UXU183" s="141"/>
      <c r="UXV183" s="141"/>
      <c r="UXW183" s="141"/>
      <c r="UXX183" s="141"/>
      <c r="UXY183" s="141"/>
      <c r="UXZ183" s="141"/>
      <c r="UYA183" s="141"/>
      <c r="UYB183" s="141"/>
      <c r="UYC183" s="141"/>
      <c r="UYD183" s="141"/>
      <c r="UYE183" s="141"/>
      <c r="UYF183" s="141"/>
      <c r="UYG183" s="141"/>
      <c r="UYH183" s="141"/>
      <c r="UYI183" s="141"/>
      <c r="UYJ183" s="141"/>
      <c r="UYK183" s="141"/>
      <c r="UYL183" s="141"/>
      <c r="UYM183" s="141"/>
      <c r="UYN183" s="141"/>
      <c r="UYO183" s="141"/>
      <c r="UYP183" s="141"/>
      <c r="UYQ183" s="141"/>
      <c r="UYR183" s="141"/>
      <c r="UYS183" s="141"/>
      <c r="UYT183" s="141"/>
      <c r="UYU183" s="141"/>
      <c r="UYV183" s="141"/>
      <c r="UYW183" s="141"/>
      <c r="UYX183" s="141"/>
      <c r="UYY183" s="141"/>
      <c r="UYZ183" s="141"/>
      <c r="UZA183" s="141"/>
      <c r="UZB183" s="141"/>
      <c r="UZC183" s="141"/>
      <c r="UZD183" s="141"/>
      <c r="UZE183" s="141"/>
      <c r="UZF183" s="141"/>
      <c r="UZG183" s="141"/>
      <c r="UZH183" s="141"/>
      <c r="UZI183" s="141"/>
      <c r="UZJ183" s="141"/>
      <c r="UZK183" s="141"/>
      <c r="UZL183" s="141"/>
      <c r="UZM183" s="141"/>
      <c r="UZN183" s="141"/>
      <c r="UZO183" s="141"/>
      <c r="UZP183" s="141"/>
      <c r="UZQ183" s="141"/>
      <c r="UZR183" s="141"/>
      <c r="UZS183" s="141"/>
      <c r="UZT183" s="141"/>
      <c r="UZU183" s="141"/>
      <c r="UZV183" s="141"/>
      <c r="UZW183" s="141"/>
      <c r="UZX183" s="141"/>
      <c r="UZY183" s="141"/>
      <c r="UZZ183" s="141"/>
      <c r="VAA183" s="141"/>
      <c r="VAB183" s="141"/>
      <c r="VAC183" s="141"/>
      <c r="VAD183" s="141"/>
      <c r="VAE183" s="141"/>
      <c r="VAF183" s="141"/>
      <c r="VAG183" s="141"/>
      <c r="VAH183" s="141"/>
      <c r="VAI183" s="141"/>
      <c r="VAJ183" s="141"/>
      <c r="VAK183" s="141"/>
      <c r="VAL183" s="141"/>
      <c r="VAM183" s="141"/>
      <c r="VAN183" s="141"/>
      <c r="VAO183" s="141"/>
      <c r="VAP183" s="141"/>
      <c r="VAQ183" s="141"/>
      <c r="VAR183" s="141"/>
      <c r="VAS183" s="141"/>
      <c r="VAT183" s="141"/>
      <c r="VAU183" s="141"/>
      <c r="VAV183" s="141"/>
      <c r="VAW183" s="141"/>
      <c r="VAX183" s="141"/>
      <c r="VAY183" s="141"/>
      <c r="VAZ183" s="141"/>
      <c r="VBA183" s="141"/>
      <c r="VBB183" s="141"/>
      <c r="VBC183" s="141"/>
      <c r="VBD183" s="141"/>
      <c r="VBE183" s="141"/>
      <c r="VBF183" s="141"/>
      <c r="VBG183" s="141"/>
      <c r="VBH183" s="141"/>
      <c r="VBI183" s="141"/>
      <c r="VBJ183" s="141"/>
      <c r="VBK183" s="141"/>
      <c r="VBL183" s="141"/>
      <c r="VBM183" s="141"/>
      <c r="VBN183" s="141"/>
      <c r="VBO183" s="141"/>
      <c r="VBP183" s="141"/>
      <c r="VBQ183" s="141"/>
      <c r="VBR183" s="141"/>
      <c r="VBS183" s="141"/>
      <c r="VBT183" s="141"/>
      <c r="VBU183" s="141"/>
      <c r="VBV183" s="141"/>
      <c r="VBW183" s="141"/>
      <c r="VBX183" s="141"/>
      <c r="VBY183" s="141"/>
      <c r="VBZ183" s="141"/>
      <c r="VCA183" s="141"/>
      <c r="VCB183" s="141"/>
      <c r="VCC183" s="141"/>
      <c r="VCD183" s="141"/>
      <c r="VCE183" s="141"/>
      <c r="VCF183" s="141"/>
      <c r="VCG183" s="141"/>
      <c r="VCH183" s="141"/>
      <c r="VCI183" s="141"/>
      <c r="VCJ183" s="141"/>
      <c r="VCK183" s="141"/>
      <c r="VCL183" s="141"/>
      <c r="VCM183" s="141"/>
      <c r="VCN183" s="141"/>
      <c r="VCO183" s="141"/>
      <c r="VCP183" s="141"/>
      <c r="VCQ183" s="141"/>
      <c r="VCR183" s="141"/>
      <c r="VCS183" s="141"/>
      <c r="VCT183" s="141"/>
      <c r="VCU183" s="141"/>
      <c r="VCV183" s="141"/>
      <c r="VCW183" s="141"/>
      <c r="VCX183" s="141"/>
      <c r="VCY183" s="141"/>
      <c r="VCZ183" s="141"/>
      <c r="VDA183" s="141"/>
      <c r="VDB183" s="141"/>
      <c r="VDC183" s="141"/>
      <c r="VDD183" s="141"/>
      <c r="VDE183" s="141"/>
      <c r="VDF183" s="141"/>
      <c r="VDG183" s="141"/>
      <c r="VDH183" s="141"/>
      <c r="VDI183" s="141"/>
      <c r="VDJ183" s="141"/>
      <c r="VDK183" s="141"/>
      <c r="VDL183" s="141"/>
      <c r="VDM183" s="141"/>
      <c r="VDN183" s="141"/>
      <c r="VDO183" s="141"/>
      <c r="VDP183" s="141"/>
      <c r="VDQ183" s="141"/>
      <c r="VDR183" s="141"/>
      <c r="VDS183" s="141"/>
      <c r="VDT183" s="141"/>
      <c r="VDU183" s="141"/>
      <c r="VDV183" s="141"/>
      <c r="VDW183" s="141"/>
      <c r="VDX183" s="141"/>
      <c r="VDY183" s="141"/>
      <c r="VDZ183" s="141"/>
      <c r="VEA183" s="141"/>
      <c r="VEB183" s="141"/>
      <c r="VEC183" s="141"/>
      <c r="VED183" s="141"/>
      <c r="VEE183" s="141"/>
      <c r="VEF183" s="141"/>
      <c r="VEG183" s="141"/>
      <c r="VEH183" s="141"/>
      <c r="VEI183" s="141"/>
      <c r="VEJ183" s="141"/>
      <c r="VEK183" s="141"/>
      <c r="VEL183" s="141"/>
      <c r="VEM183" s="141"/>
      <c r="VEN183" s="141"/>
      <c r="VEO183" s="141"/>
      <c r="VEP183" s="141"/>
      <c r="VEQ183" s="141"/>
      <c r="VER183" s="141"/>
      <c r="VES183" s="141"/>
      <c r="VET183" s="141"/>
      <c r="VEU183" s="141"/>
      <c r="VEV183" s="141"/>
      <c r="VEW183" s="141"/>
      <c r="VEX183" s="141"/>
      <c r="VEY183" s="141"/>
      <c r="VEZ183" s="141"/>
      <c r="VFA183" s="141"/>
      <c r="VFB183" s="141"/>
      <c r="VFC183" s="141"/>
      <c r="VFD183" s="141"/>
      <c r="VFE183" s="141"/>
      <c r="VFF183" s="141"/>
      <c r="VFG183" s="141"/>
      <c r="VFH183" s="141"/>
      <c r="VFI183" s="141"/>
      <c r="VFJ183" s="141"/>
      <c r="VFK183" s="141"/>
      <c r="VFL183" s="141"/>
      <c r="VFM183" s="141"/>
      <c r="VFN183" s="141"/>
      <c r="VFO183" s="141"/>
      <c r="VFP183" s="141"/>
      <c r="VFQ183" s="141"/>
      <c r="VFR183" s="141"/>
      <c r="VFS183" s="141"/>
      <c r="VFT183" s="141"/>
      <c r="VFU183" s="141"/>
      <c r="VFV183" s="141"/>
      <c r="VFW183" s="141"/>
      <c r="VFX183" s="141"/>
      <c r="VFY183" s="141"/>
      <c r="VFZ183" s="141"/>
      <c r="VGA183" s="141"/>
      <c r="VGB183" s="141"/>
      <c r="VGC183" s="141"/>
      <c r="VGD183" s="141"/>
      <c r="VGE183" s="141"/>
      <c r="VGF183" s="141"/>
      <c r="VGG183" s="141"/>
      <c r="VGH183" s="141"/>
      <c r="VGI183" s="141"/>
      <c r="VGJ183" s="141"/>
      <c r="VGK183" s="141"/>
      <c r="VGL183" s="141"/>
      <c r="VGM183" s="141"/>
      <c r="VGN183" s="141"/>
      <c r="VGO183" s="141"/>
      <c r="VGP183" s="141"/>
      <c r="VGQ183" s="141"/>
      <c r="VGR183" s="141"/>
      <c r="VGS183" s="141"/>
      <c r="VGT183" s="141"/>
      <c r="VGU183" s="141"/>
      <c r="VGV183" s="141"/>
      <c r="VGW183" s="141"/>
      <c r="VGX183" s="141"/>
      <c r="VGY183" s="141"/>
      <c r="VGZ183" s="141"/>
      <c r="VHA183" s="141"/>
      <c r="VHB183" s="141"/>
      <c r="VHC183" s="141"/>
      <c r="VHD183" s="141"/>
      <c r="VHE183" s="141"/>
      <c r="VHF183" s="141"/>
      <c r="VHG183" s="141"/>
      <c r="VHH183" s="141"/>
      <c r="VHI183" s="141"/>
      <c r="VHJ183" s="141"/>
      <c r="VHK183" s="141"/>
      <c r="VHL183" s="141"/>
      <c r="VHM183" s="141"/>
      <c r="VHN183" s="141"/>
      <c r="VHO183" s="141"/>
      <c r="VHP183" s="141"/>
      <c r="VHQ183" s="141"/>
      <c r="VHR183" s="141"/>
      <c r="VHS183" s="141"/>
      <c r="VHT183" s="141"/>
      <c r="VHU183" s="141"/>
      <c r="VHV183" s="141"/>
      <c r="VHW183" s="141"/>
      <c r="VHX183" s="141"/>
      <c r="VHY183" s="141"/>
      <c r="VHZ183" s="141"/>
      <c r="VIA183" s="141"/>
      <c r="VIB183" s="141"/>
      <c r="VIC183" s="141"/>
      <c r="VID183" s="141"/>
      <c r="VIE183" s="141"/>
      <c r="VIF183" s="141"/>
      <c r="VIG183" s="141"/>
      <c r="VIH183" s="141"/>
      <c r="VII183" s="141"/>
      <c r="VIJ183" s="141"/>
      <c r="VIK183" s="141"/>
      <c r="VIL183" s="141"/>
      <c r="VIM183" s="141"/>
      <c r="VIN183" s="141"/>
      <c r="VIO183" s="141"/>
      <c r="VIP183" s="141"/>
      <c r="VIQ183" s="141"/>
      <c r="VIR183" s="141"/>
      <c r="VIS183" s="141"/>
      <c r="VIT183" s="141"/>
      <c r="VIU183" s="141"/>
      <c r="VIV183" s="141"/>
      <c r="VIW183" s="141"/>
      <c r="VIX183" s="141"/>
      <c r="VIY183" s="141"/>
      <c r="VIZ183" s="141"/>
      <c r="VJA183" s="141"/>
      <c r="VJB183" s="141"/>
      <c r="VJC183" s="141"/>
      <c r="VJD183" s="141"/>
      <c r="VJE183" s="141"/>
      <c r="VJF183" s="141"/>
      <c r="VJG183" s="141"/>
      <c r="VJH183" s="141"/>
      <c r="VJI183" s="141"/>
      <c r="VJJ183" s="141"/>
      <c r="VJK183" s="141"/>
      <c r="VJL183" s="141"/>
      <c r="VJM183" s="141"/>
      <c r="VJN183" s="141"/>
      <c r="VJO183" s="141"/>
      <c r="VJP183" s="141"/>
      <c r="VJQ183" s="141"/>
      <c r="VJR183" s="141"/>
      <c r="VJS183" s="141"/>
      <c r="VJT183" s="141"/>
      <c r="VJU183" s="141"/>
      <c r="VJV183" s="141"/>
      <c r="VJW183" s="141"/>
      <c r="VJX183" s="141"/>
      <c r="VJY183" s="141"/>
      <c r="VJZ183" s="141"/>
      <c r="VKA183" s="141"/>
      <c r="VKB183" s="141"/>
      <c r="VKC183" s="141"/>
      <c r="VKD183" s="141"/>
      <c r="VKE183" s="141"/>
      <c r="VKF183" s="141"/>
      <c r="VKG183" s="141"/>
      <c r="VKH183" s="141"/>
      <c r="VKI183" s="141"/>
      <c r="VKJ183" s="141"/>
      <c r="VKK183" s="141"/>
      <c r="VKL183" s="141"/>
      <c r="VKM183" s="141"/>
      <c r="VKN183" s="141"/>
      <c r="VKO183" s="141"/>
      <c r="VKP183" s="141"/>
      <c r="VKQ183" s="141"/>
      <c r="VKR183" s="141"/>
      <c r="VKS183" s="141"/>
      <c r="VKT183" s="141"/>
      <c r="VKU183" s="141"/>
      <c r="VKV183" s="141"/>
      <c r="VKW183" s="141"/>
      <c r="VKX183" s="141"/>
      <c r="VKY183" s="141"/>
      <c r="VKZ183" s="141"/>
      <c r="VLA183" s="141"/>
      <c r="VLB183" s="141"/>
      <c r="VLC183" s="141"/>
      <c r="VLD183" s="141"/>
      <c r="VLE183" s="141"/>
      <c r="VLF183" s="141"/>
      <c r="VLG183" s="141"/>
      <c r="VLH183" s="141"/>
      <c r="VLI183" s="141"/>
      <c r="VLJ183" s="141"/>
      <c r="VLK183" s="141"/>
      <c r="VLL183" s="141"/>
      <c r="VLM183" s="141"/>
      <c r="VLN183" s="141"/>
      <c r="VLO183" s="141"/>
      <c r="VLP183" s="141"/>
      <c r="VLQ183" s="141"/>
      <c r="VLR183" s="141"/>
      <c r="VLS183" s="141"/>
      <c r="VLT183" s="141"/>
      <c r="VLU183" s="141"/>
      <c r="VLV183" s="141"/>
      <c r="VLW183" s="141"/>
      <c r="VLX183" s="141"/>
      <c r="VLY183" s="141"/>
      <c r="VLZ183" s="141"/>
      <c r="VMA183" s="141"/>
      <c r="VMB183" s="141"/>
      <c r="VMC183" s="141"/>
      <c r="VMD183" s="141"/>
      <c r="VME183" s="141"/>
      <c r="VMF183" s="141"/>
      <c r="VMG183" s="141"/>
      <c r="VMH183" s="141"/>
      <c r="VMI183" s="141"/>
      <c r="VMJ183" s="141"/>
      <c r="VMK183" s="141"/>
      <c r="VML183" s="141"/>
      <c r="VMM183" s="141"/>
      <c r="VMN183" s="141"/>
      <c r="VMO183" s="141"/>
      <c r="VMP183" s="141"/>
      <c r="VMQ183" s="141"/>
      <c r="VMR183" s="141"/>
      <c r="VMS183" s="141"/>
      <c r="VMT183" s="141"/>
      <c r="VMU183" s="141"/>
      <c r="VMV183" s="141"/>
      <c r="VMW183" s="141"/>
      <c r="VMX183" s="141"/>
      <c r="VMY183" s="141"/>
      <c r="VMZ183" s="141"/>
      <c r="VNA183" s="141"/>
      <c r="VNB183" s="141"/>
      <c r="VNC183" s="141"/>
      <c r="VND183" s="141"/>
      <c r="VNE183" s="141"/>
      <c r="VNF183" s="141"/>
      <c r="VNG183" s="141"/>
      <c r="VNH183" s="141"/>
      <c r="VNI183" s="141"/>
      <c r="VNJ183" s="141"/>
      <c r="VNK183" s="141"/>
      <c r="VNL183" s="141"/>
      <c r="VNM183" s="141"/>
      <c r="VNN183" s="141"/>
      <c r="VNO183" s="141"/>
      <c r="VNP183" s="141"/>
      <c r="VNQ183" s="141"/>
      <c r="VNR183" s="141"/>
      <c r="VNS183" s="141"/>
      <c r="VNT183" s="141"/>
      <c r="VNU183" s="141"/>
      <c r="VNV183" s="141"/>
      <c r="VNW183" s="141"/>
      <c r="VNX183" s="141"/>
      <c r="VNY183" s="141"/>
      <c r="VNZ183" s="141"/>
      <c r="VOA183" s="141"/>
      <c r="VOB183" s="141"/>
      <c r="VOC183" s="141"/>
      <c r="VOD183" s="141"/>
      <c r="VOE183" s="141"/>
      <c r="VOF183" s="141"/>
      <c r="VOG183" s="141"/>
      <c r="VOH183" s="141"/>
      <c r="VOI183" s="141"/>
      <c r="VOJ183" s="141"/>
      <c r="VOK183" s="141"/>
      <c r="VOL183" s="141"/>
      <c r="VOM183" s="141"/>
      <c r="VON183" s="141"/>
      <c r="VOO183" s="141"/>
      <c r="VOP183" s="141"/>
      <c r="VOQ183" s="141"/>
      <c r="VOR183" s="141"/>
      <c r="VOS183" s="141"/>
      <c r="VOT183" s="141"/>
      <c r="VOU183" s="141"/>
      <c r="VOV183" s="141"/>
      <c r="VOW183" s="141"/>
      <c r="VOX183" s="141"/>
      <c r="VOY183" s="141"/>
      <c r="VOZ183" s="141"/>
      <c r="VPA183" s="141"/>
      <c r="VPB183" s="141"/>
      <c r="VPC183" s="141"/>
      <c r="VPD183" s="141"/>
      <c r="VPE183" s="141"/>
      <c r="VPF183" s="141"/>
      <c r="VPG183" s="141"/>
      <c r="VPH183" s="141"/>
      <c r="VPI183" s="141"/>
      <c r="VPJ183" s="141"/>
      <c r="VPK183" s="141"/>
      <c r="VPL183" s="141"/>
      <c r="VPM183" s="141"/>
      <c r="VPN183" s="141"/>
      <c r="VPO183" s="141"/>
      <c r="VPP183" s="141"/>
      <c r="VPQ183" s="141"/>
      <c r="VPR183" s="141"/>
      <c r="VPS183" s="141"/>
      <c r="VPT183" s="141"/>
      <c r="VPU183" s="141"/>
      <c r="VPV183" s="141"/>
      <c r="VPW183" s="141"/>
      <c r="VPX183" s="141"/>
      <c r="VPY183" s="141"/>
      <c r="VPZ183" s="141"/>
      <c r="VQA183" s="141"/>
      <c r="VQB183" s="141"/>
      <c r="VQC183" s="141"/>
      <c r="VQD183" s="141"/>
      <c r="VQE183" s="141"/>
      <c r="VQF183" s="141"/>
      <c r="VQG183" s="141"/>
      <c r="VQH183" s="141"/>
      <c r="VQI183" s="141"/>
      <c r="VQJ183" s="141"/>
      <c r="VQK183" s="141"/>
      <c r="VQL183" s="141"/>
      <c r="VQM183" s="141"/>
      <c r="VQN183" s="141"/>
      <c r="VQO183" s="141"/>
      <c r="VQP183" s="141"/>
      <c r="VQQ183" s="141"/>
      <c r="VQR183" s="141"/>
      <c r="VQS183" s="141"/>
      <c r="VQT183" s="141"/>
      <c r="VQU183" s="141"/>
      <c r="VQV183" s="141"/>
      <c r="VQW183" s="141"/>
      <c r="VQX183" s="141"/>
      <c r="VQY183" s="141"/>
      <c r="VQZ183" s="141"/>
      <c r="VRA183" s="141"/>
      <c r="VRB183" s="141"/>
      <c r="VRC183" s="141"/>
      <c r="VRD183" s="141"/>
      <c r="VRE183" s="141"/>
      <c r="VRF183" s="141"/>
      <c r="VRG183" s="141"/>
      <c r="VRH183" s="141"/>
      <c r="VRI183" s="141"/>
      <c r="VRJ183" s="141"/>
      <c r="VRK183" s="141"/>
      <c r="VRL183" s="141"/>
      <c r="VRM183" s="141"/>
      <c r="VRN183" s="141"/>
      <c r="VRO183" s="141"/>
      <c r="VRP183" s="141"/>
      <c r="VRQ183" s="141"/>
      <c r="VRR183" s="141"/>
      <c r="VRS183" s="141"/>
      <c r="VRT183" s="141"/>
      <c r="VRU183" s="141"/>
      <c r="VRV183" s="141"/>
      <c r="VRW183" s="141"/>
      <c r="VRX183" s="141"/>
      <c r="VRY183" s="141"/>
      <c r="VRZ183" s="141"/>
      <c r="VSA183" s="141"/>
      <c r="VSB183" s="141"/>
      <c r="VSC183" s="141"/>
      <c r="VSD183" s="141"/>
      <c r="VSE183" s="141"/>
      <c r="VSF183" s="141"/>
      <c r="VSG183" s="141"/>
      <c r="VSH183" s="141"/>
      <c r="VSI183" s="141"/>
      <c r="VSJ183" s="141"/>
      <c r="VSK183" s="141"/>
      <c r="VSL183" s="141"/>
      <c r="VSM183" s="141"/>
      <c r="VSN183" s="141"/>
      <c r="VSO183" s="141"/>
      <c r="VSP183" s="141"/>
      <c r="VSQ183" s="141"/>
      <c r="VSR183" s="141"/>
      <c r="VSS183" s="141"/>
      <c r="VST183" s="141"/>
      <c r="VSU183" s="141"/>
      <c r="VSV183" s="141"/>
      <c r="VSW183" s="141"/>
      <c r="VSX183" s="141"/>
      <c r="VSY183" s="141"/>
      <c r="VSZ183" s="141"/>
      <c r="VTA183" s="141"/>
      <c r="VTB183" s="141"/>
      <c r="VTC183" s="141"/>
      <c r="VTD183" s="141"/>
      <c r="VTE183" s="141"/>
      <c r="VTF183" s="141"/>
      <c r="VTG183" s="141"/>
      <c r="VTH183" s="141"/>
      <c r="VTI183" s="141"/>
      <c r="VTJ183" s="141"/>
      <c r="VTK183" s="141"/>
      <c r="VTL183" s="141"/>
      <c r="VTM183" s="141"/>
      <c r="VTN183" s="141"/>
      <c r="VTO183" s="141"/>
      <c r="VTP183" s="141"/>
      <c r="VTQ183" s="141"/>
      <c r="VTR183" s="141"/>
      <c r="VTS183" s="141"/>
      <c r="VTT183" s="141"/>
      <c r="VTU183" s="141"/>
      <c r="VTV183" s="141"/>
      <c r="VTW183" s="141"/>
      <c r="VTX183" s="141"/>
      <c r="VTY183" s="141"/>
      <c r="VTZ183" s="141"/>
      <c r="VUA183" s="141"/>
      <c r="VUB183" s="141"/>
      <c r="VUC183" s="141"/>
      <c r="VUD183" s="141"/>
      <c r="VUE183" s="141"/>
      <c r="VUF183" s="141"/>
      <c r="VUG183" s="141"/>
      <c r="VUH183" s="141"/>
      <c r="VUI183" s="141"/>
      <c r="VUJ183" s="141"/>
      <c r="VUK183" s="141"/>
      <c r="VUL183" s="141"/>
      <c r="VUM183" s="141"/>
      <c r="VUN183" s="141"/>
      <c r="VUO183" s="141"/>
      <c r="VUP183" s="141"/>
      <c r="VUQ183" s="141"/>
      <c r="VUR183" s="141"/>
      <c r="VUS183" s="141"/>
      <c r="VUT183" s="141"/>
      <c r="VUU183" s="141"/>
      <c r="VUV183" s="141"/>
      <c r="VUW183" s="141"/>
      <c r="VUX183" s="141"/>
      <c r="VUY183" s="141"/>
      <c r="VUZ183" s="141"/>
      <c r="VVA183" s="141"/>
      <c r="VVB183" s="141"/>
      <c r="VVC183" s="141"/>
      <c r="VVD183" s="141"/>
      <c r="VVE183" s="141"/>
      <c r="VVF183" s="141"/>
      <c r="VVG183" s="141"/>
      <c r="VVH183" s="141"/>
      <c r="VVI183" s="141"/>
      <c r="VVJ183" s="141"/>
      <c r="VVK183" s="141"/>
      <c r="VVL183" s="141"/>
      <c r="VVM183" s="141"/>
      <c r="VVN183" s="141"/>
      <c r="VVO183" s="141"/>
      <c r="VVP183" s="141"/>
      <c r="VVQ183" s="141"/>
      <c r="VVR183" s="141"/>
      <c r="VVS183" s="141"/>
      <c r="VVT183" s="141"/>
      <c r="VVU183" s="141"/>
      <c r="VVV183" s="141"/>
      <c r="VVW183" s="141"/>
      <c r="VVX183" s="141"/>
      <c r="VVY183" s="141"/>
      <c r="VVZ183" s="141"/>
      <c r="VWA183" s="141"/>
      <c r="VWB183" s="141"/>
      <c r="VWC183" s="141"/>
      <c r="VWD183" s="141"/>
      <c r="VWE183" s="141"/>
      <c r="VWF183" s="141"/>
      <c r="VWG183" s="141"/>
      <c r="VWH183" s="141"/>
      <c r="VWI183" s="141"/>
      <c r="VWJ183" s="141"/>
      <c r="VWK183" s="141"/>
      <c r="VWL183" s="141"/>
      <c r="VWM183" s="141"/>
      <c r="VWN183" s="141"/>
      <c r="VWO183" s="141"/>
      <c r="VWP183" s="141"/>
      <c r="VWQ183" s="141"/>
      <c r="VWR183" s="141"/>
      <c r="VWS183" s="141"/>
      <c r="VWT183" s="141"/>
      <c r="VWU183" s="141"/>
      <c r="VWV183" s="141"/>
      <c r="VWW183" s="141"/>
      <c r="VWX183" s="141"/>
      <c r="VWY183" s="141"/>
      <c r="VWZ183" s="141"/>
      <c r="VXA183" s="141"/>
      <c r="VXB183" s="141"/>
      <c r="VXC183" s="141"/>
      <c r="VXD183" s="141"/>
      <c r="VXE183" s="141"/>
      <c r="VXF183" s="141"/>
      <c r="VXG183" s="141"/>
      <c r="VXH183" s="141"/>
      <c r="VXI183" s="141"/>
      <c r="VXJ183" s="141"/>
      <c r="VXK183" s="141"/>
      <c r="VXL183" s="141"/>
      <c r="VXM183" s="141"/>
      <c r="VXN183" s="141"/>
      <c r="VXO183" s="141"/>
      <c r="VXP183" s="141"/>
      <c r="VXQ183" s="141"/>
      <c r="VXR183" s="141"/>
      <c r="VXS183" s="141"/>
      <c r="VXT183" s="141"/>
      <c r="VXU183" s="141"/>
      <c r="VXV183" s="141"/>
      <c r="VXW183" s="141"/>
      <c r="VXX183" s="141"/>
      <c r="VXY183" s="141"/>
      <c r="VXZ183" s="141"/>
      <c r="VYA183" s="141"/>
      <c r="VYB183" s="141"/>
      <c r="VYC183" s="141"/>
      <c r="VYD183" s="141"/>
      <c r="VYE183" s="141"/>
      <c r="VYF183" s="141"/>
      <c r="VYG183" s="141"/>
      <c r="VYH183" s="141"/>
      <c r="VYI183" s="141"/>
      <c r="VYJ183" s="141"/>
      <c r="VYK183" s="141"/>
      <c r="VYL183" s="141"/>
      <c r="VYM183" s="141"/>
      <c r="VYN183" s="141"/>
      <c r="VYO183" s="141"/>
      <c r="VYP183" s="141"/>
      <c r="VYQ183" s="141"/>
      <c r="VYR183" s="141"/>
      <c r="VYS183" s="141"/>
      <c r="VYT183" s="141"/>
      <c r="VYU183" s="141"/>
      <c r="VYV183" s="141"/>
      <c r="VYW183" s="141"/>
      <c r="VYX183" s="141"/>
      <c r="VYY183" s="141"/>
      <c r="VYZ183" s="141"/>
      <c r="VZA183" s="141"/>
      <c r="VZB183" s="141"/>
      <c r="VZC183" s="141"/>
      <c r="VZD183" s="141"/>
      <c r="VZE183" s="141"/>
      <c r="VZF183" s="141"/>
      <c r="VZG183" s="141"/>
      <c r="VZH183" s="141"/>
      <c r="VZI183" s="141"/>
      <c r="VZJ183" s="141"/>
      <c r="VZK183" s="141"/>
      <c r="VZL183" s="141"/>
      <c r="VZM183" s="141"/>
      <c r="VZN183" s="141"/>
      <c r="VZO183" s="141"/>
      <c r="VZP183" s="141"/>
      <c r="VZQ183" s="141"/>
      <c r="VZR183" s="141"/>
      <c r="VZS183" s="141"/>
      <c r="VZT183" s="141"/>
      <c r="VZU183" s="141"/>
      <c r="VZV183" s="141"/>
      <c r="VZW183" s="141"/>
      <c r="VZX183" s="141"/>
      <c r="VZY183" s="141"/>
      <c r="VZZ183" s="141"/>
      <c r="WAA183" s="141"/>
      <c r="WAB183" s="141"/>
      <c r="WAC183" s="141"/>
      <c r="WAD183" s="141"/>
      <c r="WAE183" s="141"/>
      <c r="WAF183" s="141"/>
      <c r="WAG183" s="141"/>
      <c r="WAH183" s="141"/>
      <c r="WAI183" s="141"/>
      <c r="WAJ183" s="141"/>
      <c r="WAK183" s="141"/>
      <c r="WAL183" s="141"/>
      <c r="WAM183" s="141"/>
      <c r="WAN183" s="141"/>
      <c r="WAO183" s="141"/>
      <c r="WAP183" s="141"/>
      <c r="WAQ183" s="141"/>
      <c r="WAR183" s="141"/>
      <c r="WAS183" s="141"/>
      <c r="WAT183" s="141"/>
      <c r="WAU183" s="141"/>
      <c r="WAV183" s="141"/>
      <c r="WAW183" s="141"/>
      <c r="WAX183" s="141"/>
      <c r="WAY183" s="141"/>
      <c r="WAZ183" s="141"/>
      <c r="WBA183" s="141"/>
      <c r="WBB183" s="141"/>
      <c r="WBC183" s="141"/>
      <c r="WBD183" s="141"/>
      <c r="WBE183" s="141"/>
      <c r="WBF183" s="141"/>
      <c r="WBG183" s="141"/>
      <c r="WBH183" s="141"/>
      <c r="WBI183" s="141"/>
      <c r="WBJ183" s="141"/>
      <c r="WBK183" s="141"/>
      <c r="WBL183" s="141"/>
      <c r="WBM183" s="141"/>
      <c r="WBN183" s="141"/>
      <c r="WBO183" s="141"/>
      <c r="WBP183" s="141"/>
      <c r="WBQ183" s="141"/>
      <c r="WBR183" s="141"/>
      <c r="WBS183" s="141"/>
      <c r="WBT183" s="141"/>
      <c r="WBU183" s="141"/>
      <c r="WBV183" s="141"/>
      <c r="WBW183" s="141"/>
      <c r="WBX183" s="141"/>
      <c r="WBY183" s="141"/>
      <c r="WBZ183" s="141"/>
      <c r="WCA183" s="141"/>
      <c r="WCB183" s="141"/>
      <c r="WCC183" s="141"/>
      <c r="WCD183" s="141"/>
      <c r="WCE183" s="141"/>
      <c r="WCF183" s="141"/>
      <c r="WCG183" s="141"/>
      <c r="WCH183" s="141"/>
      <c r="WCI183" s="141"/>
      <c r="WCJ183" s="141"/>
      <c r="WCK183" s="141"/>
      <c r="WCL183" s="141"/>
      <c r="WCM183" s="141"/>
      <c r="WCN183" s="141"/>
      <c r="WCO183" s="141"/>
      <c r="WCP183" s="141"/>
      <c r="WCQ183" s="141"/>
      <c r="WCR183" s="141"/>
      <c r="WCS183" s="141"/>
      <c r="WCT183" s="141"/>
      <c r="WCU183" s="141"/>
      <c r="WCV183" s="141"/>
      <c r="WCW183" s="141"/>
      <c r="WCX183" s="141"/>
      <c r="WCY183" s="141"/>
      <c r="WCZ183" s="141"/>
      <c r="WDA183" s="141"/>
      <c r="WDB183" s="141"/>
      <c r="WDC183" s="141"/>
      <c r="WDD183" s="141"/>
      <c r="WDE183" s="141"/>
      <c r="WDF183" s="141"/>
      <c r="WDG183" s="141"/>
      <c r="WDH183" s="141"/>
      <c r="WDI183" s="141"/>
      <c r="WDJ183" s="141"/>
      <c r="WDK183" s="141"/>
      <c r="WDL183" s="141"/>
      <c r="WDM183" s="141"/>
      <c r="WDN183" s="141"/>
      <c r="WDO183" s="141"/>
      <c r="WDP183" s="141"/>
      <c r="WDQ183" s="141"/>
      <c r="WDR183" s="141"/>
      <c r="WDS183" s="141"/>
      <c r="WDT183" s="141"/>
      <c r="WDU183" s="141"/>
      <c r="WDV183" s="141"/>
      <c r="WDW183" s="141"/>
      <c r="WDX183" s="141"/>
      <c r="WDY183" s="141"/>
      <c r="WDZ183" s="141"/>
      <c r="WEA183" s="141"/>
      <c r="WEB183" s="141"/>
      <c r="WEC183" s="141"/>
      <c r="WED183" s="141"/>
      <c r="WEE183" s="141"/>
      <c r="WEF183" s="141"/>
      <c r="WEG183" s="141"/>
      <c r="WEH183" s="141"/>
      <c r="WEI183" s="141"/>
      <c r="WEJ183" s="141"/>
      <c r="WEK183" s="141"/>
      <c r="WEL183" s="141"/>
      <c r="WEM183" s="141"/>
      <c r="WEN183" s="141"/>
      <c r="WEO183" s="141"/>
      <c r="WEP183" s="141"/>
      <c r="WEQ183" s="141"/>
      <c r="WER183" s="141"/>
      <c r="WES183" s="141"/>
      <c r="WET183" s="141"/>
      <c r="WEU183" s="141"/>
      <c r="WEV183" s="141"/>
      <c r="WEW183" s="141"/>
      <c r="WEX183" s="141"/>
      <c r="WEY183" s="141"/>
      <c r="WEZ183" s="141"/>
      <c r="WFA183" s="141"/>
      <c r="WFB183" s="141"/>
      <c r="WFC183" s="141"/>
      <c r="WFD183" s="141"/>
      <c r="WFE183" s="141"/>
      <c r="WFF183" s="141"/>
      <c r="WFG183" s="141"/>
      <c r="WFH183" s="141"/>
      <c r="WFI183" s="141"/>
      <c r="WFJ183" s="141"/>
      <c r="WFK183" s="141"/>
      <c r="WFL183" s="141"/>
      <c r="WFM183" s="141"/>
      <c r="WFN183" s="141"/>
      <c r="WFO183" s="141"/>
      <c r="WFP183" s="141"/>
      <c r="WFQ183" s="141"/>
      <c r="WFR183" s="141"/>
      <c r="WFS183" s="141"/>
      <c r="WFT183" s="141"/>
      <c r="WFU183" s="141"/>
      <c r="WFV183" s="141"/>
      <c r="WFW183" s="141"/>
      <c r="WFX183" s="141"/>
      <c r="WFY183" s="141"/>
      <c r="WFZ183" s="141"/>
      <c r="WGA183" s="141"/>
      <c r="WGB183" s="141"/>
      <c r="WGC183" s="141"/>
      <c r="WGD183" s="141"/>
      <c r="WGE183" s="141"/>
      <c r="WGF183" s="141"/>
      <c r="WGG183" s="141"/>
      <c r="WGH183" s="141"/>
      <c r="WGI183" s="141"/>
      <c r="WGJ183" s="141"/>
      <c r="WGK183" s="141"/>
      <c r="WGL183" s="141"/>
      <c r="WGM183" s="141"/>
      <c r="WGN183" s="141"/>
      <c r="WGO183" s="141"/>
      <c r="WGP183" s="141"/>
      <c r="WGQ183" s="141"/>
      <c r="WGR183" s="141"/>
      <c r="WGS183" s="141"/>
      <c r="WGT183" s="141"/>
      <c r="WGU183" s="141"/>
      <c r="WGV183" s="141"/>
      <c r="WGW183" s="141"/>
      <c r="WGX183" s="141"/>
      <c r="WGY183" s="141"/>
      <c r="WGZ183" s="141"/>
      <c r="WHA183" s="141"/>
      <c r="WHB183" s="141"/>
      <c r="WHC183" s="141"/>
      <c r="WHD183" s="141"/>
      <c r="WHE183" s="141"/>
      <c r="WHF183" s="141"/>
      <c r="WHG183" s="141"/>
      <c r="WHH183" s="141"/>
      <c r="WHI183" s="141"/>
      <c r="WHJ183" s="141"/>
      <c r="WHK183" s="141"/>
      <c r="WHL183" s="141"/>
      <c r="WHM183" s="141"/>
      <c r="WHN183" s="141"/>
      <c r="WHO183" s="141"/>
      <c r="WHP183" s="141"/>
      <c r="WHQ183" s="141"/>
      <c r="WHR183" s="141"/>
      <c r="WHS183" s="141"/>
      <c r="WHT183" s="141"/>
      <c r="WHU183" s="141"/>
      <c r="WHV183" s="141"/>
      <c r="WHW183" s="141"/>
      <c r="WHX183" s="141"/>
      <c r="WHY183" s="141"/>
      <c r="WHZ183" s="141"/>
      <c r="WIA183" s="141"/>
      <c r="WIB183" s="141"/>
      <c r="WIC183" s="141"/>
      <c r="WID183" s="141"/>
      <c r="WIE183" s="141"/>
      <c r="WIF183" s="141"/>
      <c r="WIG183" s="141"/>
      <c r="WIH183" s="141"/>
      <c r="WII183" s="141"/>
      <c r="WIJ183" s="141"/>
      <c r="WIK183" s="141"/>
      <c r="WIL183" s="141"/>
      <c r="WIM183" s="141"/>
      <c r="WIN183" s="141"/>
      <c r="WIO183" s="141"/>
      <c r="WIP183" s="141"/>
      <c r="WIQ183" s="141"/>
      <c r="WIR183" s="141"/>
      <c r="WIS183" s="141"/>
      <c r="WIT183" s="141"/>
      <c r="WIU183" s="141"/>
      <c r="WIV183" s="141"/>
      <c r="WIW183" s="141"/>
      <c r="WIX183" s="141"/>
      <c r="WIY183" s="141"/>
      <c r="WIZ183" s="141"/>
      <c r="WJA183" s="141"/>
      <c r="WJB183" s="141"/>
      <c r="WJC183" s="141"/>
      <c r="WJD183" s="141"/>
      <c r="WJE183" s="141"/>
      <c r="WJF183" s="141"/>
      <c r="WJG183" s="141"/>
      <c r="WJH183" s="141"/>
      <c r="WJI183" s="141"/>
      <c r="WJJ183" s="141"/>
      <c r="WJK183" s="141"/>
      <c r="WJL183" s="141"/>
      <c r="WJM183" s="141"/>
      <c r="WJN183" s="141"/>
      <c r="WJO183" s="141"/>
      <c r="WJP183" s="141"/>
      <c r="WJQ183" s="141"/>
      <c r="WJR183" s="141"/>
      <c r="WJS183" s="141"/>
      <c r="WJT183" s="141"/>
      <c r="WJU183" s="141"/>
      <c r="WJV183" s="141"/>
      <c r="WJW183" s="141"/>
      <c r="WJX183" s="141"/>
      <c r="WJY183" s="141"/>
      <c r="WJZ183" s="141"/>
      <c r="WKA183" s="141"/>
      <c r="WKB183" s="141"/>
      <c r="WKC183" s="141"/>
      <c r="WKD183" s="141"/>
      <c r="WKE183" s="141"/>
      <c r="WKF183" s="141"/>
      <c r="WKG183" s="141"/>
      <c r="WKH183" s="141"/>
      <c r="WKI183" s="141"/>
      <c r="WKJ183" s="141"/>
      <c r="WKK183" s="141"/>
      <c r="WKL183" s="141"/>
      <c r="WKM183" s="141"/>
      <c r="WKN183" s="141"/>
      <c r="WKO183" s="141"/>
      <c r="WKP183" s="141"/>
      <c r="WKQ183" s="141"/>
      <c r="WKR183" s="141"/>
      <c r="WKS183" s="141"/>
      <c r="WKT183" s="141"/>
      <c r="WKU183" s="141"/>
      <c r="WKV183" s="141"/>
      <c r="WKW183" s="141"/>
      <c r="WKX183" s="141"/>
      <c r="WKY183" s="141"/>
      <c r="WKZ183" s="141"/>
      <c r="WLA183" s="141"/>
      <c r="WLB183" s="141"/>
      <c r="WLC183" s="141"/>
      <c r="WLD183" s="141"/>
      <c r="WLE183" s="141"/>
      <c r="WLF183" s="141"/>
      <c r="WLG183" s="141"/>
      <c r="WLH183" s="141"/>
      <c r="WLI183" s="141"/>
      <c r="WLJ183" s="141"/>
      <c r="WLK183" s="141"/>
      <c r="WLL183" s="141"/>
      <c r="WLM183" s="141"/>
      <c r="WLN183" s="141"/>
      <c r="WLO183" s="141"/>
      <c r="WLP183" s="141"/>
      <c r="WLQ183" s="141"/>
      <c r="WLR183" s="141"/>
      <c r="WLS183" s="141"/>
      <c r="WLT183" s="141"/>
      <c r="WLU183" s="141"/>
      <c r="WLV183" s="141"/>
      <c r="WLW183" s="141"/>
      <c r="WLX183" s="141"/>
      <c r="WLY183" s="141"/>
      <c r="WLZ183" s="141"/>
      <c r="WMA183" s="141"/>
      <c r="WMB183" s="141"/>
      <c r="WMC183" s="141"/>
      <c r="WMD183" s="141"/>
      <c r="WME183" s="141"/>
      <c r="WMF183" s="141"/>
      <c r="WMG183" s="141"/>
      <c r="WMH183" s="141"/>
      <c r="WMI183" s="141"/>
      <c r="WMJ183" s="141"/>
      <c r="WMK183" s="141"/>
      <c r="WML183" s="141"/>
      <c r="WMM183" s="141"/>
      <c r="WMN183" s="141"/>
      <c r="WMO183" s="141"/>
      <c r="WMP183" s="141"/>
      <c r="WMQ183" s="141"/>
      <c r="WMR183" s="141"/>
      <c r="WMS183" s="141"/>
      <c r="WMT183" s="141"/>
      <c r="WMU183" s="141"/>
      <c r="WMV183" s="141"/>
      <c r="WMW183" s="141"/>
      <c r="WMX183" s="141"/>
      <c r="WMY183" s="141"/>
      <c r="WMZ183" s="141"/>
      <c r="WNA183" s="141"/>
      <c r="WNB183" s="141"/>
      <c r="WNC183" s="141"/>
      <c r="WND183" s="141"/>
      <c r="WNE183" s="141"/>
      <c r="WNF183" s="141"/>
      <c r="WNG183" s="141"/>
      <c r="WNH183" s="141"/>
      <c r="WNI183" s="141"/>
      <c r="WNJ183" s="141"/>
      <c r="WNK183" s="141"/>
      <c r="WNL183" s="141"/>
      <c r="WNM183" s="141"/>
      <c r="WNN183" s="141"/>
      <c r="WNO183" s="141"/>
      <c r="WNP183" s="141"/>
      <c r="WNQ183" s="141"/>
      <c r="WNR183" s="141"/>
      <c r="WNS183" s="141"/>
      <c r="WNT183" s="141"/>
      <c r="WNU183" s="141"/>
      <c r="WNV183" s="141"/>
      <c r="WNW183" s="141"/>
      <c r="WNX183" s="141"/>
      <c r="WNY183" s="141"/>
      <c r="WNZ183" s="141"/>
      <c r="WOA183" s="141"/>
      <c r="WOB183" s="141"/>
      <c r="WOC183" s="141"/>
      <c r="WOD183" s="141"/>
      <c r="WOE183" s="141"/>
      <c r="WOF183" s="141"/>
      <c r="WOG183" s="141"/>
      <c r="WOH183" s="141"/>
      <c r="WOI183" s="141"/>
      <c r="WOJ183" s="141"/>
      <c r="WOK183" s="141"/>
      <c r="WOL183" s="141"/>
      <c r="WOM183" s="141"/>
      <c r="WON183" s="141"/>
      <c r="WOO183" s="141"/>
      <c r="WOP183" s="141"/>
      <c r="WOQ183" s="141"/>
      <c r="WOR183" s="141"/>
      <c r="WOS183" s="141"/>
      <c r="WOT183" s="141"/>
      <c r="WOU183" s="141"/>
      <c r="WOV183" s="141"/>
      <c r="WOW183" s="141"/>
      <c r="WOX183" s="141"/>
      <c r="WOY183" s="141"/>
      <c r="WOZ183" s="141"/>
      <c r="WPA183" s="141"/>
      <c r="WPB183" s="141"/>
      <c r="WPC183" s="141"/>
      <c r="WPD183" s="141"/>
      <c r="WPE183" s="141"/>
      <c r="WPF183" s="141"/>
      <c r="WPG183" s="141"/>
      <c r="WPH183" s="141"/>
      <c r="WPI183" s="141"/>
      <c r="WPJ183" s="141"/>
      <c r="WPK183" s="141"/>
      <c r="WPL183" s="141"/>
      <c r="WPM183" s="141"/>
      <c r="WPN183" s="141"/>
      <c r="WPO183" s="141"/>
      <c r="WPP183" s="141"/>
      <c r="WPQ183" s="141"/>
      <c r="WPR183" s="141"/>
      <c r="WPS183" s="141"/>
      <c r="WPT183" s="141"/>
      <c r="WPU183" s="141"/>
      <c r="WPV183" s="141"/>
      <c r="WPW183" s="141"/>
      <c r="WPX183" s="141"/>
      <c r="WPY183" s="141"/>
      <c r="WPZ183" s="141"/>
      <c r="WQA183" s="141"/>
      <c r="WQB183" s="141"/>
      <c r="WQC183" s="141"/>
      <c r="WQD183" s="141"/>
      <c r="WQE183" s="141"/>
      <c r="WQF183" s="141"/>
      <c r="WQG183" s="141"/>
      <c r="WQH183" s="141"/>
      <c r="WQI183" s="141"/>
      <c r="WQJ183" s="141"/>
      <c r="WQK183" s="141"/>
      <c r="WQL183" s="141"/>
      <c r="WQM183" s="141"/>
      <c r="WQN183" s="141"/>
      <c r="WQO183" s="141"/>
      <c r="WQP183" s="141"/>
      <c r="WQQ183" s="141"/>
      <c r="WQR183" s="141"/>
      <c r="WQS183" s="141"/>
      <c r="WQT183" s="141"/>
      <c r="WQU183" s="141"/>
      <c r="WQV183" s="141"/>
      <c r="WQW183" s="141"/>
      <c r="WQX183" s="141"/>
      <c r="WQY183" s="141"/>
      <c r="WQZ183" s="141"/>
      <c r="WRA183" s="141"/>
      <c r="WRB183" s="141"/>
      <c r="WRC183" s="141"/>
      <c r="WRD183" s="141"/>
      <c r="WRE183" s="141"/>
      <c r="WRF183" s="141"/>
      <c r="WRG183" s="141"/>
      <c r="WRH183" s="141"/>
      <c r="WRI183" s="141"/>
      <c r="WRJ183" s="141"/>
      <c r="WRK183" s="141"/>
      <c r="WRL183" s="141"/>
      <c r="WRM183" s="141"/>
      <c r="WRN183" s="141"/>
      <c r="WRO183" s="141"/>
      <c r="WRP183" s="141"/>
      <c r="WRQ183" s="141"/>
      <c r="WRR183" s="141"/>
      <c r="WRS183" s="141"/>
      <c r="WRT183" s="141"/>
      <c r="WRU183" s="141"/>
      <c r="WRV183" s="141"/>
      <c r="WRW183" s="141"/>
      <c r="WRX183" s="141"/>
      <c r="WRY183" s="141"/>
      <c r="WRZ183" s="141"/>
      <c r="WSA183" s="141"/>
      <c r="WSB183" s="141"/>
      <c r="WSC183" s="141"/>
      <c r="WSD183" s="141"/>
      <c r="WSE183" s="141"/>
      <c r="WSF183" s="141"/>
      <c r="WSG183" s="141"/>
      <c r="WSH183" s="141"/>
      <c r="WSI183" s="141"/>
      <c r="WSJ183" s="141"/>
      <c r="WSK183" s="141"/>
      <c r="WSL183" s="141"/>
      <c r="WSM183" s="141"/>
      <c r="WSN183" s="141"/>
      <c r="WSO183" s="141"/>
      <c r="WSP183" s="141"/>
      <c r="WSQ183" s="141"/>
      <c r="WSR183" s="141"/>
      <c r="WSS183" s="141"/>
      <c r="WST183" s="141"/>
      <c r="WSU183" s="141"/>
      <c r="WSV183" s="141"/>
      <c r="WSW183" s="141"/>
      <c r="WSX183" s="141"/>
      <c r="WSY183" s="141"/>
      <c r="WSZ183" s="141"/>
      <c r="WTA183" s="141"/>
      <c r="WTB183" s="141"/>
      <c r="WTC183" s="141"/>
      <c r="WTD183" s="141"/>
      <c r="WTE183" s="141"/>
      <c r="WTF183" s="141"/>
      <c r="WTG183" s="141"/>
      <c r="WTH183" s="141"/>
      <c r="WTI183" s="141"/>
      <c r="WTJ183" s="141"/>
      <c r="WTK183" s="141"/>
      <c r="WTL183" s="141"/>
      <c r="WTM183" s="141"/>
      <c r="WTN183" s="141"/>
      <c r="WTO183" s="141"/>
      <c r="WTP183" s="141"/>
      <c r="WTQ183" s="141"/>
      <c r="WTR183" s="141"/>
      <c r="WTS183" s="141"/>
      <c r="WTT183" s="141"/>
      <c r="WTU183" s="141"/>
      <c r="WTV183" s="141"/>
      <c r="WTW183" s="141"/>
      <c r="WTX183" s="141"/>
      <c r="WTY183" s="141"/>
      <c r="WTZ183" s="141"/>
      <c r="WUA183" s="141"/>
      <c r="WUB183" s="141"/>
      <c r="WUC183" s="141"/>
      <c r="WUD183" s="141"/>
      <c r="WUE183" s="141"/>
      <c r="WUF183" s="141"/>
      <c r="WUG183" s="141"/>
      <c r="WUH183" s="141"/>
      <c r="WUI183" s="141"/>
      <c r="WUJ183" s="141"/>
      <c r="WUK183" s="141"/>
      <c r="WUL183" s="141"/>
      <c r="WUM183" s="141"/>
      <c r="WUN183" s="141"/>
      <c r="WUO183" s="141"/>
      <c r="WUP183" s="141"/>
      <c r="WUQ183" s="141"/>
      <c r="WUR183" s="141"/>
      <c r="WUS183" s="141"/>
      <c r="WUT183" s="141"/>
      <c r="WUU183" s="141"/>
      <c r="WUV183" s="141"/>
      <c r="WUW183" s="141"/>
      <c r="WUX183" s="141"/>
      <c r="WUY183" s="141"/>
      <c r="WUZ183" s="141"/>
      <c r="WVA183" s="141"/>
      <c r="WVB183" s="141"/>
      <c r="WVC183" s="141"/>
      <c r="WVD183" s="141"/>
      <c r="WVE183" s="141"/>
      <c r="WVF183" s="141"/>
      <c r="WVG183" s="141"/>
      <c r="WVH183" s="141"/>
      <c r="WVI183" s="141"/>
      <c r="WVJ183" s="141"/>
      <c r="WVK183" s="141"/>
      <c r="WVL183" s="141"/>
      <c r="WVM183" s="141"/>
      <c r="WVN183" s="141"/>
      <c r="WVO183" s="141"/>
      <c r="WVP183" s="141"/>
      <c r="WVQ183" s="141"/>
      <c r="WVR183" s="141"/>
      <c r="WVS183" s="141"/>
      <c r="WVT183" s="141"/>
      <c r="WVU183" s="141"/>
      <c r="WVV183" s="141"/>
      <c r="WVW183" s="141"/>
      <c r="WVX183" s="141"/>
      <c r="WVY183" s="141"/>
      <c r="WVZ183" s="141"/>
      <c r="WWA183" s="141"/>
      <c r="WWB183" s="141"/>
      <c r="WWC183" s="141"/>
      <c r="WWD183" s="141"/>
      <c r="WWE183" s="141"/>
      <c r="WWF183" s="141"/>
      <c r="WWG183" s="141"/>
      <c r="WWH183" s="141"/>
      <c r="WWI183" s="141"/>
      <c r="WWJ183" s="141"/>
      <c r="WWK183" s="141"/>
      <c r="WWL183" s="141"/>
      <c r="WWM183" s="141"/>
      <c r="WWN183" s="141"/>
      <c r="WWO183" s="141"/>
      <c r="WWP183" s="141"/>
      <c r="WWQ183" s="141"/>
      <c r="WWR183" s="141"/>
      <c r="WWS183" s="141"/>
      <c r="WWT183" s="141"/>
      <c r="WWU183" s="141"/>
      <c r="WWV183" s="141"/>
      <c r="WWW183" s="141"/>
      <c r="WWX183" s="141"/>
      <c r="WWY183" s="141"/>
      <c r="WWZ183" s="141"/>
      <c r="WXA183" s="141"/>
      <c r="WXB183" s="141"/>
      <c r="WXC183" s="141"/>
      <c r="WXD183" s="141"/>
      <c r="WXE183" s="141"/>
      <c r="WXF183" s="141"/>
      <c r="WXG183" s="141"/>
      <c r="WXH183" s="141"/>
      <c r="WXI183" s="141"/>
      <c r="WXJ183" s="141"/>
      <c r="WXK183" s="141"/>
      <c r="WXL183" s="141"/>
      <c r="WXM183" s="141"/>
      <c r="WXN183" s="141"/>
      <c r="WXO183" s="141"/>
      <c r="WXP183" s="141"/>
      <c r="WXQ183" s="141"/>
      <c r="WXR183" s="141"/>
      <c r="WXS183" s="141"/>
      <c r="WXT183" s="141"/>
      <c r="WXU183" s="141"/>
      <c r="WXV183" s="141"/>
      <c r="WXW183" s="141"/>
      <c r="WXX183" s="141"/>
      <c r="WXY183" s="141"/>
      <c r="WXZ183" s="141"/>
      <c r="WYA183" s="141"/>
      <c r="WYB183" s="141"/>
      <c r="WYC183" s="141"/>
      <c r="WYD183" s="141"/>
      <c r="WYE183" s="141"/>
      <c r="WYF183" s="141"/>
      <c r="WYG183" s="141"/>
      <c r="WYH183" s="141"/>
      <c r="WYI183" s="141"/>
      <c r="WYJ183" s="141"/>
      <c r="WYK183" s="141"/>
      <c r="WYL183" s="141"/>
      <c r="WYM183" s="141"/>
      <c r="WYN183" s="141"/>
      <c r="WYO183" s="141"/>
      <c r="WYP183" s="141"/>
      <c r="WYQ183" s="141"/>
      <c r="WYR183" s="141"/>
      <c r="WYS183" s="141"/>
      <c r="WYT183" s="141"/>
      <c r="WYU183" s="141"/>
      <c r="WYV183" s="141"/>
      <c r="WYW183" s="141"/>
      <c r="WYX183" s="141"/>
      <c r="WYY183" s="141"/>
      <c r="WYZ183" s="141"/>
      <c r="WZA183" s="141"/>
      <c r="WZB183" s="141"/>
      <c r="WZC183" s="141"/>
      <c r="WZD183" s="141"/>
      <c r="WZE183" s="141"/>
      <c r="WZF183" s="141"/>
      <c r="WZG183" s="141"/>
      <c r="WZH183" s="141"/>
      <c r="WZI183" s="141"/>
      <c r="WZJ183" s="141"/>
      <c r="WZK183" s="141"/>
      <c r="WZL183" s="141"/>
      <c r="WZM183" s="141"/>
      <c r="WZN183" s="141"/>
      <c r="WZO183" s="141"/>
      <c r="WZP183" s="141"/>
      <c r="WZQ183" s="141"/>
      <c r="WZR183" s="141"/>
      <c r="WZS183" s="141"/>
      <c r="WZT183" s="141"/>
      <c r="WZU183" s="141"/>
      <c r="WZV183" s="141"/>
      <c r="WZW183" s="141"/>
      <c r="WZX183" s="141"/>
      <c r="WZY183" s="141"/>
      <c r="WZZ183" s="141"/>
      <c r="XAA183" s="141"/>
      <c r="XAB183" s="141"/>
      <c r="XAC183" s="141"/>
      <c r="XAD183" s="141"/>
      <c r="XAE183" s="141"/>
      <c r="XAF183" s="141"/>
      <c r="XAG183" s="141"/>
      <c r="XAH183" s="141"/>
      <c r="XAI183" s="141"/>
      <c r="XAJ183" s="141"/>
      <c r="XAK183" s="141"/>
      <c r="XAL183" s="141"/>
      <c r="XAM183" s="141"/>
      <c r="XAN183" s="141"/>
      <c r="XAO183" s="141"/>
      <c r="XAP183" s="141"/>
      <c r="XAQ183" s="141"/>
      <c r="XAR183" s="141"/>
      <c r="XAS183" s="141"/>
      <c r="XAT183" s="141"/>
      <c r="XAU183" s="141"/>
      <c r="XAV183" s="141"/>
      <c r="XAW183" s="141"/>
      <c r="XAX183" s="141"/>
      <c r="XAY183" s="141"/>
      <c r="XAZ183" s="141"/>
      <c r="XBA183" s="141"/>
      <c r="XBB183" s="141"/>
      <c r="XBC183" s="141"/>
      <c r="XBD183" s="141"/>
      <c r="XBE183" s="141"/>
      <c r="XBF183" s="141"/>
      <c r="XBG183" s="141"/>
      <c r="XBH183" s="141"/>
      <c r="XBI183" s="141"/>
      <c r="XBJ183" s="141"/>
      <c r="XBK183" s="141"/>
      <c r="XBL183" s="141"/>
      <c r="XBM183" s="141"/>
      <c r="XBN183" s="141"/>
      <c r="XBO183" s="141"/>
      <c r="XBP183" s="141"/>
      <c r="XBQ183" s="141"/>
      <c r="XBR183" s="141"/>
      <c r="XBS183" s="141"/>
      <c r="XBT183" s="141"/>
      <c r="XBU183" s="141"/>
      <c r="XBV183" s="141"/>
      <c r="XBW183" s="141"/>
      <c r="XBX183" s="141"/>
      <c r="XBY183" s="141"/>
      <c r="XBZ183" s="141"/>
      <c r="XCA183" s="141"/>
      <c r="XCB183" s="141"/>
      <c r="XCC183" s="141"/>
      <c r="XCD183" s="141"/>
      <c r="XCE183" s="141"/>
      <c r="XCF183" s="141"/>
      <c r="XCG183" s="141"/>
      <c r="XCH183" s="141"/>
      <c r="XCI183" s="141"/>
      <c r="XCJ183" s="141"/>
      <c r="XCK183" s="141"/>
      <c r="XCL183" s="141"/>
      <c r="XCM183" s="141"/>
      <c r="XCN183" s="141"/>
      <c r="XCO183" s="141"/>
      <c r="XCP183" s="141"/>
      <c r="XCQ183" s="141"/>
      <c r="XCR183" s="141"/>
      <c r="XCS183" s="141"/>
      <c r="XCT183" s="141"/>
      <c r="XCU183" s="141"/>
      <c r="XCV183" s="141"/>
      <c r="XCW183" s="141"/>
      <c r="XCX183" s="141"/>
      <c r="XCY183" s="141"/>
      <c r="XCZ183" s="141"/>
      <c r="XDA183" s="141"/>
      <c r="XDB183" s="141"/>
      <c r="XDC183" s="141"/>
      <c r="XDD183" s="141"/>
      <c r="XDE183" s="141"/>
      <c r="XDF183" s="141"/>
      <c r="XDG183" s="141"/>
      <c r="XDH183" s="141"/>
      <c r="XDI183" s="141"/>
      <c r="XDJ183" s="141"/>
      <c r="XDK183" s="141"/>
      <c r="XDL183" s="141"/>
      <c r="XDM183" s="141"/>
      <c r="XDN183" s="141"/>
      <c r="XDO183" s="141"/>
      <c r="XDP183" s="141"/>
      <c r="XDQ183" s="141"/>
      <c r="XDR183" s="141"/>
      <c r="XDS183" s="141"/>
      <c r="XDT183" s="141"/>
      <c r="XDU183" s="141"/>
      <c r="XDV183" s="141"/>
      <c r="XDW183" s="141"/>
      <c r="XDX183" s="141"/>
      <c r="XDY183" s="141"/>
      <c r="XDZ183" s="141"/>
      <c r="XEA183" s="141"/>
      <c r="XEB183" s="141"/>
      <c r="XEC183" s="141"/>
      <c r="XED183" s="141"/>
      <c r="XEE183" s="141"/>
      <c r="XEF183" s="141"/>
      <c r="XEG183" s="141"/>
      <c r="XEH183" s="141"/>
      <c r="XEI183" s="141"/>
      <c r="XEJ183" s="141"/>
      <c r="XEK183" s="141"/>
      <c r="XEL183" s="141"/>
      <c r="XEM183" s="141"/>
      <c r="XEN183" s="141"/>
      <c r="XEO183" s="141"/>
      <c r="XEP183" s="141"/>
      <c r="XEQ183" s="141"/>
      <c r="XER183" s="141"/>
      <c r="XES183" s="141"/>
      <c r="XET183" s="141"/>
      <c r="XEU183" s="141"/>
      <c r="XEV183" s="141"/>
      <c r="XEW183" s="141"/>
      <c r="XEX183" s="141"/>
      <c r="XEY183" s="141"/>
      <c r="XEZ183" s="141"/>
      <c r="XFA183" s="141"/>
      <c r="XFB183" s="141"/>
      <c r="XFC183" s="141"/>
      <c r="XFD183" s="141"/>
    </row>
    <row r="184" spans="1:16384" x14ac:dyDescent="0.25">
      <c r="B184" s="639" t="s">
        <v>1445</v>
      </c>
      <c r="C184" s="639"/>
      <c r="D184" s="639"/>
      <c r="E184" s="639"/>
      <c r="F184" s="639"/>
      <c r="G184" s="639"/>
      <c r="H184" s="639"/>
      <c r="I184" s="639"/>
      <c r="J184" s="639"/>
      <c r="K184" s="639"/>
      <c r="L184" s="639"/>
    </row>
    <row r="186" spans="1:16384" x14ac:dyDescent="0.25">
      <c r="B186" s="551"/>
      <c r="C186" s="551"/>
      <c r="D186" s="551"/>
      <c r="E186" s="551"/>
      <c r="F186" s="551"/>
      <c r="G186" s="551"/>
      <c r="H186" s="551"/>
      <c r="I186" s="551"/>
      <c r="J186" s="551"/>
      <c r="K186" s="551"/>
      <c r="L186" s="551"/>
    </row>
    <row r="187" spans="1:16384" x14ac:dyDescent="0.25">
      <c r="B187" s="219" t="s">
        <v>91</v>
      </c>
      <c r="C187" s="392" t="s">
        <v>6</v>
      </c>
      <c r="D187" s="219"/>
      <c r="E187" s="316"/>
      <c r="F187" s="219"/>
      <c r="G187" s="154"/>
      <c r="H187" s="154"/>
      <c r="I187" s="154"/>
      <c r="J187" s="154"/>
      <c r="K187" s="154"/>
      <c r="L187" s="154"/>
    </row>
  </sheetData>
  <autoFilter ref="B10:B172"/>
  <mergeCells count="15">
    <mergeCell ref="B184:L184"/>
    <mergeCell ref="B1:L1"/>
    <mergeCell ref="B2:L2"/>
    <mergeCell ref="C6:C8"/>
    <mergeCell ref="D6:D8"/>
    <mergeCell ref="E6:F6"/>
    <mergeCell ref="G6:I6"/>
    <mergeCell ref="J6:K6"/>
    <mergeCell ref="E7:E8"/>
    <mergeCell ref="F7:F8"/>
    <mergeCell ref="G7:G8"/>
    <mergeCell ref="H7:I7"/>
    <mergeCell ref="J7:J8"/>
    <mergeCell ref="K7:K8"/>
    <mergeCell ref="L7:L8"/>
  </mergeCells>
  <hyperlinks>
    <hyperlink ref="C187" r:id="rId1"/>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P81"/>
  <sheetViews>
    <sheetView zoomScale="80" zoomScaleNormal="80" workbookViewId="0">
      <pane ySplit="6" topLeftCell="A7" activePane="bottomLeft" state="frozen"/>
      <selection activeCell="J15" sqref="J15"/>
      <selection pane="bottomLeft" sqref="A1:P1"/>
    </sheetView>
  </sheetViews>
  <sheetFormatPr defaultColWidth="8.90625" defaultRowHeight="12.5" x14ac:dyDescent="0.25"/>
  <cols>
    <col min="1" max="1" width="18.08984375" style="23" customWidth="1"/>
    <col min="2" max="2" width="19.08984375" style="23" customWidth="1"/>
    <col min="3" max="3" width="17.08984375" style="23" customWidth="1"/>
    <col min="4" max="4" width="25.08984375" style="23" customWidth="1"/>
    <col min="5" max="5" width="12.90625" style="23" customWidth="1"/>
    <col min="6" max="7" width="11.453125" style="23" bestFit="1" customWidth="1"/>
    <col min="8" max="8" width="17" style="23" customWidth="1"/>
    <col min="9" max="9" width="13.90625" style="23" bestFit="1" customWidth="1"/>
    <col min="10" max="10" width="16.90625" style="23" customWidth="1"/>
    <col min="11" max="11" width="13" style="23" customWidth="1"/>
    <col min="12" max="12" width="23.90625" style="23" bestFit="1" customWidth="1"/>
    <col min="13" max="13" width="11.453125" style="23" bestFit="1" customWidth="1"/>
    <col min="14" max="14" width="16" style="23" customWidth="1"/>
    <col min="15" max="15" width="12.08984375" style="23" bestFit="1" customWidth="1"/>
    <col min="16" max="16" width="14.08984375" style="23" customWidth="1"/>
    <col min="17" max="16384" width="8.90625" style="23"/>
  </cols>
  <sheetData>
    <row r="1" spans="1:16" ht="19.25" x14ac:dyDescent="0.25">
      <c r="A1" s="629" t="s">
        <v>1420</v>
      </c>
      <c r="B1" s="629"/>
      <c r="C1" s="629"/>
      <c r="D1" s="629"/>
      <c r="E1" s="629"/>
      <c r="F1" s="629"/>
      <c r="G1" s="629"/>
      <c r="H1" s="629"/>
      <c r="I1" s="629"/>
      <c r="J1" s="629"/>
      <c r="K1" s="629"/>
      <c r="L1" s="629"/>
      <c r="M1" s="629"/>
      <c r="N1" s="629"/>
      <c r="O1" s="629"/>
      <c r="P1" s="629"/>
    </row>
    <row r="2" spans="1:16" ht="17.399999999999999" x14ac:dyDescent="0.25">
      <c r="A2" s="629">
        <v>2020</v>
      </c>
      <c r="B2" s="629"/>
      <c r="C2" s="629"/>
      <c r="D2" s="629"/>
      <c r="E2" s="629"/>
      <c r="F2" s="629"/>
      <c r="G2" s="629"/>
      <c r="H2" s="629"/>
      <c r="I2" s="629"/>
      <c r="J2" s="629"/>
      <c r="K2" s="629"/>
      <c r="L2" s="629"/>
      <c r="M2" s="629"/>
      <c r="N2" s="629"/>
      <c r="O2" s="629"/>
      <c r="P2" s="629"/>
    </row>
    <row r="3" spans="1:16" ht="13.25" x14ac:dyDescent="0.25">
      <c r="A3" s="555"/>
      <c r="B3" s="555"/>
      <c r="C3" s="555"/>
    </row>
    <row r="4" spans="1:16" ht="13.5" x14ac:dyDescent="0.25">
      <c r="A4" s="562"/>
      <c r="B4" s="637" t="s">
        <v>1419</v>
      </c>
      <c r="C4" s="652" t="s">
        <v>466</v>
      </c>
      <c r="D4" s="646" t="s">
        <v>467</v>
      </c>
      <c r="E4" s="654" t="s">
        <v>468</v>
      </c>
      <c r="F4" s="655"/>
      <c r="G4" s="655"/>
      <c r="H4" s="655"/>
      <c r="I4" s="655"/>
      <c r="J4" s="656"/>
      <c r="K4" s="657" t="s">
        <v>1424</v>
      </c>
      <c r="L4" s="658"/>
      <c r="M4" s="658"/>
      <c r="N4" s="658"/>
      <c r="O4" s="658"/>
      <c r="P4" s="659"/>
    </row>
    <row r="5" spans="1:16" ht="66" customHeight="1" x14ac:dyDescent="0.25">
      <c r="A5" s="563" t="s">
        <v>53</v>
      </c>
      <c r="B5" s="638"/>
      <c r="C5" s="653"/>
      <c r="D5" s="647"/>
      <c r="E5" s="550" t="s">
        <v>469</v>
      </c>
      <c r="F5" s="132" t="s">
        <v>470</v>
      </c>
      <c r="G5" s="132" t="s">
        <v>471</v>
      </c>
      <c r="H5" s="132" t="s">
        <v>472</v>
      </c>
      <c r="I5" s="132" t="s">
        <v>473</v>
      </c>
      <c r="J5" s="133" t="s">
        <v>474</v>
      </c>
      <c r="K5" s="132" t="s">
        <v>1421</v>
      </c>
      <c r="L5" s="132" t="s">
        <v>475</v>
      </c>
      <c r="M5" s="132" t="s">
        <v>476</v>
      </c>
      <c r="N5" s="132" t="s">
        <v>477</v>
      </c>
      <c r="O5" s="132" t="s">
        <v>483</v>
      </c>
      <c r="P5" s="133" t="s">
        <v>484</v>
      </c>
    </row>
    <row r="6" spans="1:16" ht="11.4" customHeight="1" x14ac:dyDescent="0.25">
      <c r="A6" s="564"/>
      <c r="B6" s="92" t="s">
        <v>39</v>
      </c>
      <c r="C6" s="93" t="s">
        <v>40</v>
      </c>
      <c r="D6" s="94" t="s">
        <v>41</v>
      </c>
      <c r="E6" s="92" t="s">
        <v>42</v>
      </c>
      <c r="F6" s="93" t="s">
        <v>43</v>
      </c>
      <c r="G6" s="93" t="s">
        <v>44</v>
      </c>
      <c r="H6" s="93" t="s">
        <v>45</v>
      </c>
      <c r="I6" s="93" t="s">
        <v>46</v>
      </c>
      <c r="J6" s="94" t="s">
        <v>47</v>
      </c>
      <c r="K6" s="93" t="s">
        <v>48</v>
      </c>
      <c r="L6" s="93" t="s">
        <v>49</v>
      </c>
      <c r="M6" s="93" t="s">
        <v>50</v>
      </c>
      <c r="N6" s="93" t="s">
        <v>51</v>
      </c>
      <c r="O6" s="93" t="s">
        <v>52</v>
      </c>
      <c r="P6" s="94" t="s">
        <v>478</v>
      </c>
    </row>
    <row r="7" spans="1:16" ht="11.4" customHeight="1" x14ac:dyDescent="0.25">
      <c r="A7" s="561" t="s">
        <v>53</v>
      </c>
      <c r="B7" s="92"/>
      <c r="C7" s="93"/>
      <c r="D7" s="93"/>
      <c r="E7" s="92"/>
      <c r="F7" s="93"/>
      <c r="G7" s="93"/>
      <c r="H7" s="93"/>
      <c r="I7" s="93"/>
      <c r="J7" s="93"/>
      <c r="K7" s="93"/>
      <c r="L7" s="93"/>
      <c r="M7" s="93"/>
      <c r="N7" s="93"/>
      <c r="O7" s="93"/>
      <c r="P7" s="94"/>
    </row>
    <row r="8" spans="1:16" ht="13.25" x14ac:dyDescent="0.25">
      <c r="A8" s="301" t="s">
        <v>309</v>
      </c>
      <c r="B8" s="570" t="s">
        <v>1275</v>
      </c>
      <c r="C8" s="443"/>
      <c r="D8" s="443"/>
      <c r="E8" s="296"/>
      <c r="F8" s="443"/>
      <c r="G8" s="443"/>
      <c r="H8" s="443"/>
      <c r="I8" s="443"/>
      <c r="J8" s="443"/>
      <c r="K8" s="296"/>
      <c r="L8" s="443"/>
      <c r="M8" s="443"/>
      <c r="N8" s="444"/>
      <c r="O8" s="445"/>
      <c r="P8" s="261"/>
    </row>
    <row r="9" spans="1:16" ht="136.75" x14ac:dyDescent="0.25">
      <c r="A9" s="301" t="s">
        <v>54</v>
      </c>
      <c r="B9" s="296" t="s">
        <v>632</v>
      </c>
      <c r="C9" s="443" t="s">
        <v>514</v>
      </c>
      <c r="D9" s="443" t="s">
        <v>1164</v>
      </c>
      <c r="E9" s="296" t="s">
        <v>895</v>
      </c>
      <c r="F9" s="443" t="s">
        <v>123</v>
      </c>
      <c r="G9" s="443" t="s">
        <v>123</v>
      </c>
      <c r="H9" s="443" t="s">
        <v>900</v>
      </c>
      <c r="I9" s="443" t="s">
        <v>248</v>
      </c>
      <c r="J9" s="443" t="s">
        <v>123</v>
      </c>
      <c r="K9" s="296" t="s">
        <v>906</v>
      </c>
      <c r="L9" s="443" t="str">
        <f>"EUR 950/month ("&amp;TEXT(100*950*12/'Average wages'!B5,0)&amp;"% of AW)"</f>
        <v>EUR 950/month (23% of AW)</v>
      </c>
      <c r="M9" s="443" t="s">
        <v>95</v>
      </c>
      <c r="N9" s="444">
        <v>1</v>
      </c>
      <c r="O9" s="445" t="s">
        <v>95</v>
      </c>
      <c r="P9" s="261" t="s">
        <v>633</v>
      </c>
    </row>
    <row r="10" spans="1:16" ht="46" x14ac:dyDescent="0.25">
      <c r="A10" s="134" t="s">
        <v>240</v>
      </c>
      <c r="B10" s="135" t="s">
        <v>386</v>
      </c>
      <c r="C10" s="136" t="s">
        <v>514</v>
      </c>
      <c r="D10" s="136" t="s">
        <v>881</v>
      </c>
      <c r="E10" s="135" t="s">
        <v>895</v>
      </c>
      <c r="F10" s="136" t="s">
        <v>248</v>
      </c>
      <c r="G10" s="136" t="s">
        <v>123</v>
      </c>
      <c r="H10" s="136" t="s">
        <v>901</v>
      </c>
      <c r="I10" s="136" t="s">
        <v>248</v>
      </c>
      <c r="J10" s="136" t="s">
        <v>123</v>
      </c>
      <c r="K10" s="135" t="s">
        <v>95</v>
      </c>
      <c r="L10" s="136" t="str">
        <f>"EUR 1,013.64 ("&amp;TEXT(1013.64/'Average wages'!B6,"0%")&amp;" of AW)"</f>
        <v>EUR 1,013.64 (2% of AW)</v>
      </c>
      <c r="M10" s="136" t="s">
        <v>95</v>
      </c>
      <c r="N10" s="136" t="s">
        <v>95</v>
      </c>
      <c r="O10" s="149" t="s">
        <v>486</v>
      </c>
      <c r="P10" s="446" t="s">
        <v>486</v>
      </c>
    </row>
    <row r="11" spans="1:16" ht="70.5" x14ac:dyDescent="0.25">
      <c r="A11" s="134" t="s">
        <v>240</v>
      </c>
      <c r="B11" s="447" t="s">
        <v>506</v>
      </c>
      <c r="C11" s="448" t="s">
        <v>875</v>
      </c>
      <c r="D11" s="448" t="s">
        <v>882</v>
      </c>
      <c r="E11" s="447" t="s">
        <v>123</v>
      </c>
      <c r="F11" s="448" t="s">
        <v>123</v>
      </c>
      <c r="G11" s="448" t="s">
        <v>123</v>
      </c>
      <c r="H11" s="448" t="s">
        <v>123</v>
      </c>
      <c r="I11" s="448" t="s">
        <v>123</v>
      </c>
      <c r="J11" s="448" t="s">
        <v>123</v>
      </c>
      <c r="K11" s="447" t="s">
        <v>487</v>
      </c>
      <c r="L11" s="448" t="str">
        <f>"EUR 2613 ("&amp;TEXT(2613/'Average wages'!B6,"0%")&amp;" of AW)"</f>
        <v>EUR 2613 (5% of AW)</v>
      </c>
      <c r="M11" s="449" t="s">
        <v>95</v>
      </c>
      <c r="N11" s="450">
        <v>0.23699999999999999</v>
      </c>
      <c r="O11" s="451">
        <f>19699.44/'Average wages'!B6</f>
        <v>0.41281019805640268</v>
      </c>
      <c r="P11" s="452">
        <f>30726.84/'Average wages'!B6</f>
        <v>0.64389408562108352</v>
      </c>
    </row>
    <row r="12" spans="1:16" ht="46" x14ac:dyDescent="0.25">
      <c r="A12" s="134" t="s">
        <v>310</v>
      </c>
      <c r="B12" s="155" t="s">
        <v>1032</v>
      </c>
      <c r="C12" s="136" t="s">
        <v>387</v>
      </c>
      <c r="D12" s="136" t="s">
        <v>652</v>
      </c>
      <c r="E12" s="135" t="s">
        <v>123</v>
      </c>
      <c r="F12" s="136" t="s">
        <v>123</v>
      </c>
      <c r="G12" s="136" t="s">
        <v>123</v>
      </c>
      <c r="H12" s="136" t="s">
        <v>123</v>
      </c>
      <c r="I12" s="136" t="s">
        <v>123</v>
      </c>
      <c r="J12" s="136" t="str">
        <f>"Yes, "&amp;TEXT(3000/'Average wages'!B7,"0%"&amp;" of AW")</f>
        <v>Yes, 5% of AW</v>
      </c>
      <c r="K12" s="135" t="s">
        <v>507</v>
      </c>
      <c r="L12" s="136" t="str">
        <f>"CAD 1,381 ("&amp;TEXT(1381/'Average wages'!B7,"0%")&amp;" of AW) for singles;
CAD2379 ("&amp;TEXT(2379/'Average wages'!B7,"0%")&amp;" of AW) for couples and lone parents"</f>
        <v>CAD 1,381 (2% of AW) for singles;
CAD2379 (4% of AW) for couples and lone parents</v>
      </c>
      <c r="M12" s="72">
        <v>0.26</v>
      </c>
      <c r="N12" s="72">
        <v>0.12</v>
      </c>
      <c r="O12" s="149">
        <f>13064/'Average wages'!B7</f>
        <v>0.22802638417845231</v>
      </c>
      <c r="P12" s="453">
        <f>24573/'Average wages'!B7</f>
        <v>0.42891092608826614</v>
      </c>
    </row>
    <row r="13" spans="1:16" ht="60" x14ac:dyDescent="0.25">
      <c r="A13" s="134" t="s">
        <v>310</v>
      </c>
      <c r="B13" s="571" t="s">
        <v>488</v>
      </c>
      <c r="C13" s="139" t="s">
        <v>489</v>
      </c>
      <c r="D13" s="139" t="s">
        <v>883</v>
      </c>
      <c r="E13" s="138" t="s">
        <v>490</v>
      </c>
      <c r="F13" s="139" t="s">
        <v>123</v>
      </c>
      <c r="G13" s="139" t="s">
        <v>123</v>
      </c>
      <c r="H13" s="139" t="s">
        <v>123</v>
      </c>
      <c r="I13" s="139" t="s">
        <v>248</v>
      </c>
      <c r="J13" s="139" t="s">
        <v>123</v>
      </c>
      <c r="K13" s="138" t="s">
        <v>95</v>
      </c>
      <c r="L13" s="139" t="str">
        <f>"CAD 253 ("&amp;TEXT(253/'Average wages'!B7,"0.0%")&amp;" of AW)"</f>
        <v>CAD 253 (0.4% of AW)</v>
      </c>
      <c r="M13" s="150" t="s">
        <v>95</v>
      </c>
      <c r="N13" s="150" t="s">
        <v>95</v>
      </c>
      <c r="O13" s="150" t="s">
        <v>95</v>
      </c>
      <c r="P13" s="151" t="s">
        <v>95</v>
      </c>
    </row>
    <row r="14" spans="1:16" ht="23" x14ac:dyDescent="0.25">
      <c r="A14" s="134" t="s">
        <v>56</v>
      </c>
      <c r="B14" s="135" t="s">
        <v>1447</v>
      </c>
      <c r="C14" s="136"/>
      <c r="D14" s="136"/>
      <c r="E14" s="135"/>
      <c r="F14" s="136"/>
      <c r="G14" s="136"/>
      <c r="H14" s="136"/>
      <c r="I14" s="136"/>
      <c r="J14" s="136"/>
      <c r="K14" s="135"/>
      <c r="L14" s="136"/>
      <c r="M14" s="148"/>
      <c r="N14" s="148"/>
      <c r="O14" s="149"/>
      <c r="P14" s="446"/>
    </row>
    <row r="15" spans="1:16" x14ac:dyDescent="0.25">
      <c r="A15" s="454" t="s">
        <v>58</v>
      </c>
      <c r="B15" s="155" t="s">
        <v>1275</v>
      </c>
      <c r="C15" s="136"/>
      <c r="D15" s="136"/>
      <c r="E15" s="135"/>
      <c r="F15" s="136"/>
      <c r="G15" s="136"/>
      <c r="H15" s="136"/>
      <c r="I15" s="136"/>
      <c r="J15" s="136"/>
      <c r="K15" s="135"/>
      <c r="L15" s="136"/>
      <c r="M15" s="136"/>
      <c r="N15" s="148"/>
      <c r="O15" s="149"/>
      <c r="P15" s="455"/>
    </row>
    <row r="16" spans="1:16" s="460" customFormat="1" ht="46" x14ac:dyDescent="0.25">
      <c r="A16" s="97" t="s">
        <v>59</v>
      </c>
      <c r="B16" s="296" t="s">
        <v>1364</v>
      </c>
      <c r="C16" s="443" t="s">
        <v>878</v>
      </c>
      <c r="D16" s="456" t="s">
        <v>887</v>
      </c>
      <c r="E16" s="457" t="s">
        <v>649</v>
      </c>
      <c r="F16" s="443" t="s">
        <v>123</v>
      </c>
      <c r="G16" s="443" t="s">
        <v>248</v>
      </c>
      <c r="H16" s="443" t="s">
        <v>123</v>
      </c>
      <c r="I16" s="443" t="s">
        <v>248</v>
      </c>
      <c r="J16" s="443" t="s">
        <v>123</v>
      </c>
      <c r="K16" s="457" t="s">
        <v>505</v>
      </c>
      <c r="L16" s="443" t="s">
        <v>1365</v>
      </c>
      <c r="M16" s="456" t="s">
        <v>95</v>
      </c>
      <c r="N16" s="456" t="s">
        <v>95</v>
      </c>
      <c r="O16" s="458" t="s">
        <v>95</v>
      </c>
      <c r="P16" s="459" t="s">
        <v>95</v>
      </c>
    </row>
    <row r="17" spans="1:16" ht="80.5" x14ac:dyDescent="0.25">
      <c r="A17" s="454" t="s">
        <v>60</v>
      </c>
      <c r="B17" s="135" t="s">
        <v>657</v>
      </c>
      <c r="C17" s="136" t="s">
        <v>876</v>
      </c>
      <c r="D17" s="136" t="s">
        <v>884</v>
      </c>
      <c r="E17" s="135" t="s">
        <v>123</v>
      </c>
      <c r="F17" s="136" t="s">
        <v>123</v>
      </c>
      <c r="G17" s="136" t="s">
        <v>248</v>
      </c>
      <c r="H17" s="136" t="s">
        <v>491</v>
      </c>
      <c r="I17" s="136" t="s">
        <v>248</v>
      </c>
      <c r="J17" s="136" t="s">
        <v>123</v>
      </c>
      <c r="K17" s="394" t="s">
        <v>503</v>
      </c>
      <c r="L17" s="461" t="str">
        <f>"Previous unemployment benefit reduced by 50% of gross earnings exceeding EUR 300 per month ("&amp;TEXT(300*12/'Average wages'!B12,"0%")&amp;" of AW); total income (benefit + earnings) cannot exceed 100% of reference earnings."</f>
        <v>Previous unemployment benefit reduced by 50% of gross earnings exceeding EUR 300 per month (8% of AW); total income (benefit + earnings) cannot exceed 100% of reference earnings.</v>
      </c>
      <c r="M17" s="461" t="s">
        <v>95</v>
      </c>
      <c r="N17" s="462" t="s">
        <v>95</v>
      </c>
      <c r="O17" s="140" t="s">
        <v>95</v>
      </c>
      <c r="P17" s="455" t="s">
        <v>95</v>
      </c>
    </row>
    <row r="18" spans="1:16" ht="34.5" x14ac:dyDescent="0.25">
      <c r="A18" s="463" t="s">
        <v>60</v>
      </c>
      <c r="B18" s="138" t="s">
        <v>1366</v>
      </c>
      <c r="C18" s="139" t="s">
        <v>1367</v>
      </c>
      <c r="D18" s="139" t="s">
        <v>493</v>
      </c>
      <c r="E18" s="138" t="s">
        <v>123</v>
      </c>
      <c r="F18" s="139" t="s">
        <v>123</v>
      </c>
      <c r="G18" s="139" t="s">
        <v>123</v>
      </c>
      <c r="H18" s="139" t="s">
        <v>123</v>
      </c>
      <c r="I18" s="139" t="s">
        <v>123</v>
      </c>
      <c r="J18" s="139" t="str">
        <f>"Yes, "&amp;TEXT(2500/'Average wages'!B12,"0%")&amp;" of AW"</f>
        <v>Yes, 5% of AW</v>
      </c>
      <c r="K18" s="464" t="s">
        <v>503</v>
      </c>
      <c r="L18" s="465" t="str">
        <f>"EUR 3570 per year ("&amp;TEXT(3570/'Average wages'!B12,"0%")&amp;" of AW)"</f>
        <v>EUR 3570 per year (8% of AW)</v>
      </c>
      <c r="M18" s="465" t="s">
        <v>1368</v>
      </c>
      <c r="N18" s="466">
        <v>4.4999999999999998E-2</v>
      </c>
      <c r="O18" s="140">
        <f>14000/'Average wages'!B12</f>
        <v>0.30621983536533182</v>
      </c>
      <c r="P18" s="140">
        <f>3570/0.045/'Average wages'!B12</f>
        <v>1.7352457337368807</v>
      </c>
    </row>
    <row r="19" spans="1:16" ht="23" x14ac:dyDescent="0.25">
      <c r="A19" s="463" t="s">
        <v>60</v>
      </c>
      <c r="B19" s="138" t="s">
        <v>1369</v>
      </c>
      <c r="C19" s="139" t="s">
        <v>1370</v>
      </c>
      <c r="D19" s="467" t="s">
        <v>493</v>
      </c>
      <c r="E19" s="138" t="s">
        <v>123</v>
      </c>
      <c r="F19" s="139" t="s">
        <v>123</v>
      </c>
      <c r="G19" s="139" t="s">
        <v>123</v>
      </c>
      <c r="H19" s="139" t="s">
        <v>123</v>
      </c>
      <c r="I19" s="139" t="s">
        <v>123</v>
      </c>
      <c r="J19" s="139" t="str">
        <f>"Yes, "&amp;TEXT(2500/'Average wages'!B12,"0%")&amp;" of AW"</f>
        <v>Yes, 5% of AW</v>
      </c>
      <c r="K19" s="464" t="s">
        <v>503</v>
      </c>
      <c r="L19" s="139" t="str">
        <f>"EUR 1,770 per year ("&amp;TEXT(1770/'Average wages'!B12,"0%")&amp;" of AW)"</f>
        <v>EUR 1,770 per year (4% of AW)</v>
      </c>
      <c r="M19" s="468">
        <v>0.125</v>
      </c>
      <c r="N19" s="309">
        <v>1.84E-2</v>
      </c>
      <c r="O19" s="140">
        <f>33000/'Average wages'!B12</f>
        <v>0.7218038976468536</v>
      </c>
      <c r="P19" s="469">
        <f>130000/'Average wages'!B12</f>
        <v>2.8434698998209385</v>
      </c>
    </row>
    <row r="20" spans="1:16" ht="89.15" customHeight="1" x14ac:dyDescent="0.25">
      <c r="A20" s="454" t="s">
        <v>61</v>
      </c>
      <c r="B20" s="135" t="s">
        <v>873</v>
      </c>
      <c r="C20" s="136" t="s">
        <v>489</v>
      </c>
      <c r="D20" s="136" t="s">
        <v>882</v>
      </c>
      <c r="E20" s="135" t="s">
        <v>123</v>
      </c>
      <c r="F20" s="136" t="s">
        <v>123</v>
      </c>
      <c r="G20" s="136" t="s">
        <v>248</v>
      </c>
      <c r="H20" s="136" t="s">
        <v>515</v>
      </c>
      <c r="I20" s="136" t="s">
        <v>123</v>
      </c>
      <c r="J20" s="136" t="s">
        <v>123</v>
      </c>
      <c r="K20" s="135" t="s">
        <v>505</v>
      </c>
      <c r="L20" s="136" t="str">
        <f>"EUR 1,925.54 for single ("&amp;TEXT(1925.54/'Average wages'!B13,"0%")&amp;" of AW)"</f>
        <v>EUR 1,925.54 for single (5% of AW)</v>
      </c>
      <c r="M20" s="136" t="s">
        <v>95</v>
      </c>
      <c r="N20" s="148">
        <f>1-0.61</f>
        <v>0.39</v>
      </c>
      <c r="O20" s="149">
        <f>7500/'Average wages'!$B$13</f>
        <v>0.19639708288072744</v>
      </c>
      <c r="P20" s="453">
        <f>27500/'Average wages'!$B$13</f>
        <v>0.7201226372293339</v>
      </c>
    </row>
    <row r="21" spans="1:16" ht="80.5" x14ac:dyDescent="0.25">
      <c r="A21" s="301" t="s">
        <v>62</v>
      </c>
      <c r="B21" s="296" t="s">
        <v>495</v>
      </c>
      <c r="C21" s="443" t="s">
        <v>877</v>
      </c>
      <c r="D21" s="443" t="s">
        <v>882</v>
      </c>
      <c r="E21" s="296" t="s">
        <v>123</v>
      </c>
      <c r="F21" s="443" t="s">
        <v>123</v>
      </c>
      <c r="G21" s="443" t="s">
        <v>123</v>
      </c>
      <c r="H21" s="443" t="s">
        <v>123</v>
      </c>
      <c r="I21" s="443" t="s">
        <v>123</v>
      </c>
      <c r="J21" s="443" t="s">
        <v>268</v>
      </c>
      <c r="K21" s="296" t="s">
        <v>503</v>
      </c>
      <c r="L21" s="443" t="str">
        <f>"Only pension contributions of 3.6% up to EUR 5400 ("&amp;TEXT(100*5400/'Average wages'!B14,0)&amp;"% of AW) gross income per year, general contributions are phased in between EUR 5400 and EUR 15600 ("&amp;TEXT(100*15600/'Average wages'!B14,0)&amp;"% of AW), so-called 'midi job'"</f>
        <v>Only pension contributions of 3.6% up to EUR 5400 (10% of AW) gross income per year, general contributions are phased in between EUR 5400 and EUR 15600 (30% of AW), so-called 'midi job'</v>
      </c>
      <c r="M21" s="443" t="s">
        <v>95</v>
      </c>
      <c r="N21" s="443" t="s">
        <v>1181</v>
      </c>
      <c r="O21" s="445">
        <f>5401/'Average wages'!B14</f>
        <v>0.10365839627730933</v>
      </c>
      <c r="P21" s="470">
        <f>15601/'Average wages'!B14</f>
        <v>0.29942133684915806</v>
      </c>
    </row>
    <row r="22" spans="1:16" ht="35.5" x14ac:dyDescent="0.25">
      <c r="A22" s="134" t="s">
        <v>63</v>
      </c>
      <c r="B22" s="135" t="s">
        <v>1371</v>
      </c>
      <c r="C22" s="136" t="s">
        <v>878</v>
      </c>
      <c r="D22" s="461" t="s">
        <v>887</v>
      </c>
      <c r="E22" s="135" t="s">
        <v>649</v>
      </c>
      <c r="F22" s="136" t="s">
        <v>123</v>
      </c>
      <c r="G22" s="136" t="s">
        <v>248</v>
      </c>
      <c r="H22" s="136" t="s">
        <v>123</v>
      </c>
      <c r="I22" s="136" t="s">
        <v>248</v>
      </c>
      <c r="J22" s="136" t="s">
        <v>123</v>
      </c>
      <c r="K22" s="394" t="s">
        <v>95</v>
      </c>
      <c r="L22" s="461" t="s">
        <v>1372</v>
      </c>
      <c r="M22" s="461" t="s">
        <v>95</v>
      </c>
      <c r="N22" s="461" t="s">
        <v>95</v>
      </c>
      <c r="O22" s="498" t="s">
        <v>95</v>
      </c>
      <c r="P22" s="500" t="s">
        <v>95</v>
      </c>
    </row>
    <row r="23" spans="1:16" ht="34.5" x14ac:dyDescent="0.25">
      <c r="A23" s="501" t="s">
        <v>63</v>
      </c>
      <c r="B23" s="447" t="s">
        <v>1373</v>
      </c>
      <c r="C23" s="448" t="s">
        <v>1374</v>
      </c>
      <c r="D23" s="474" t="s">
        <v>1375</v>
      </c>
      <c r="E23" s="447" t="s">
        <v>649</v>
      </c>
      <c r="F23" s="448" t="s">
        <v>123</v>
      </c>
      <c r="G23" s="448" t="s">
        <v>248</v>
      </c>
      <c r="H23" s="448" t="s">
        <v>123</v>
      </c>
      <c r="I23" s="448" t="s">
        <v>248</v>
      </c>
      <c r="J23" s="448" t="s">
        <v>123</v>
      </c>
      <c r="K23" s="473" t="s">
        <v>95</v>
      </c>
      <c r="L23" s="474" t="s">
        <v>1376</v>
      </c>
      <c r="M23" s="474" t="s">
        <v>95</v>
      </c>
      <c r="N23" s="474" t="s">
        <v>95</v>
      </c>
      <c r="O23" s="502" t="s">
        <v>95</v>
      </c>
      <c r="P23" s="503" t="s">
        <v>95</v>
      </c>
    </row>
    <row r="24" spans="1:16" x14ac:dyDescent="0.25">
      <c r="A24" s="142" t="s">
        <v>64</v>
      </c>
      <c r="B24" s="260" t="s">
        <v>1275</v>
      </c>
      <c r="C24" s="139"/>
      <c r="D24" s="465"/>
      <c r="E24" s="138"/>
      <c r="F24" s="139"/>
      <c r="G24" s="139"/>
      <c r="H24" s="139"/>
      <c r="I24" s="139"/>
      <c r="J24" s="139"/>
      <c r="K24" s="464"/>
      <c r="L24" s="465"/>
      <c r="M24" s="465"/>
      <c r="N24" s="465"/>
      <c r="O24" s="504"/>
      <c r="P24" s="505"/>
    </row>
    <row r="25" spans="1:16" x14ac:dyDescent="0.25">
      <c r="A25" s="134" t="s">
        <v>65</v>
      </c>
      <c r="B25" s="260" t="s">
        <v>1275</v>
      </c>
      <c r="C25" s="136"/>
      <c r="D25" s="136"/>
      <c r="E25" s="135"/>
      <c r="F25" s="136"/>
      <c r="G25" s="136"/>
      <c r="H25" s="136"/>
      <c r="I25" s="136"/>
      <c r="J25" s="136"/>
      <c r="K25" s="135"/>
      <c r="L25" s="136"/>
      <c r="M25" s="136"/>
      <c r="N25" s="139"/>
      <c r="O25" s="149"/>
      <c r="P25" s="152"/>
    </row>
    <row r="26" spans="1:16" ht="80.5" x14ac:dyDescent="0.25">
      <c r="A26" s="454" t="s">
        <v>1432</v>
      </c>
      <c r="B26" s="155" t="s">
        <v>670</v>
      </c>
      <c r="C26" s="136" t="s">
        <v>489</v>
      </c>
      <c r="D26" s="136" t="s">
        <v>886</v>
      </c>
      <c r="E26" s="135" t="s">
        <v>123</v>
      </c>
      <c r="F26" s="136" t="s">
        <v>248</v>
      </c>
      <c r="G26" s="136" t="s">
        <v>248</v>
      </c>
      <c r="H26" s="136" t="s">
        <v>902</v>
      </c>
      <c r="I26" s="136" t="s">
        <v>123</v>
      </c>
      <c r="J26" s="136" t="s">
        <v>123</v>
      </c>
      <c r="K26" s="135" t="s">
        <v>496</v>
      </c>
      <c r="L26" s="136" t="str">
        <f>"60% of the difference between the weekly family income and a weekly income limit for the family size; income limit varies with family size; minimum supplement: EUR 20 per week ("&amp;TEXT(20*52*100/'Average wages'!B18,0)&amp;"% of AW)"</f>
        <v>60% of the difference between the weekly family income and a weekly income limit for the family size; income limit varies with family size; minimum supplement: EUR 20 per week (2% of AW)</v>
      </c>
      <c r="M26" s="461" t="s">
        <v>95</v>
      </c>
      <c r="N26" s="462">
        <v>0.6</v>
      </c>
      <c r="O26" s="149" t="s">
        <v>508</v>
      </c>
      <c r="P26" s="149" t="str">
        <f>TEXT(34000*100/'Average wages'!B18,0)&amp;"% of AW for a couple with two children."</f>
        <v>73% of AW for a couple with two children.</v>
      </c>
    </row>
    <row r="27" spans="1:16" ht="126.5" x14ac:dyDescent="0.25">
      <c r="A27" s="471" t="s">
        <v>66</v>
      </c>
      <c r="B27" s="472" t="s">
        <v>671</v>
      </c>
      <c r="C27" s="448" t="s">
        <v>514</v>
      </c>
      <c r="D27" s="448" t="s">
        <v>885</v>
      </c>
      <c r="E27" s="447" t="s">
        <v>248</v>
      </c>
      <c r="F27" s="448" t="s">
        <v>248</v>
      </c>
      <c r="G27" s="448" t="s">
        <v>248</v>
      </c>
      <c r="H27" s="448" t="s">
        <v>123</v>
      </c>
      <c r="I27" s="448" t="s">
        <v>248</v>
      </c>
      <c r="J27" s="448" t="s">
        <v>268</v>
      </c>
      <c r="K27" s="473" t="s">
        <v>95</v>
      </c>
      <c r="L27" s="448" t="str">
        <f>"EUR 36 ("&amp;TEXT(36*52*100/'Average wages'!B18,0)&amp;"% of AW) per child under 12 per week for the first year;
EUR 18 ("&amp;TEXT(18*52*100/'Average wages'!B18,0)&amp;"% of AW) per child under 12 per week for the second year; EUR 40 ("&amp;TEXT(40*52*100/'Average wages'!B18,0)&amp;"% of AW) per child over 12 per week for the first year;
EUR 20 ("&amp;TEXT(20*52*100/'Average wages'!B18,0)&amp;"% of AW) per child over 12 per week for the second year"</f>
        <v>EUR 36 (4% of AW) per child under 12 per week for the first year;
EUR 18 (2% of AW) per child under 12 per week for the second year; EUR 40 (4% of AW) per child over 12 per week for the first year;
EUR 20 (2% of AW) per child over 12 per week for the second year</v>
      </c>
      <c r="M27" s="474" t="s">
        <v>95</v>
      </c>
      <c r="N27" s="449" t="s">
        <v>95</v>
      </c>
      <c r="O27" s="475" t="s">
        <v>95</v>
      </c>
      <c r="P27" s="476" t="s">
        <v>95</v>
      </c>
    </row>
    <row r="28" spans="1:16" ht="44.25" customHeight="1" x14ac:dyDescent="0.25">
      <c r="A28" s="97" t="s">
        <v>314</v>
      </c>
      <c r="B28" s="296" t="s">
        <v>425</v>
      </c>
      <c r="C28" s="443" t="s">
        <v>387</v>
      </c>
      <c r="D28" s="443" t="s">
        <v>886</v>
      </c>
      <c r="E28" s="296" t="s">
        <v>123</v>
      </c>
      <c r="F28" s="443" t="s">
        <v>248</v>
      </c>
      <c r="G28" s="443" t="s">
        <v>248</v>
      </c>
      <c r="H28" s="443" t="s">
        <v>123</v>
      </c>
      <c r="I28" s="443" t="s">
        <v>123</v>
      </c>
      <c r="J28" s="443" t="s">
        <v>248</v>
      </c>
      <c r="K28" s="296" t="s">
        <v>509</v>
      </c>
      <c r="L28" s="201" t="str">
        <f>TEXT(330*12*(1+0.5+0.3)/'Average wages'!$B$19,"0.0%") &amp;" of AW"</f>
        <v>4.5% of AW</v>
      </c>
      <c r="M28" s="572">
        <v>0.161</v>
      </c>
      <c r="N28" s="572">
        <v>0.23</v>
      </c>
      <c r="O28" s="445">
        <f>15480/'Average wages'!B19</f>
        <v>9.8540579516223456E-2</v>
      </c>
      <c r="P28" s="470">
        <f>9570*12/'Average wages'!B19</f>
        <v>0.7310336015273321</v>
      </c>
    </row>
    <row r="29" spans="1:16" ht="69" x14ac:dyDescent="0.25">
      <c r="A29" s="454" t="s">
        <v>68</v>
      </c>
      <c r="B29" s="135" t="s">
        <v>930</v>
      </c>
      <c r="C29" s="136" t="s">
        <v>489</v>
      </c>
      <c r="D29" s="136" t="s">
        <v>931</v>
      </c>
      <c r="E29" s="135" t="s">
        <v>123</v>
      </c>
      <c r="F29" s="136" t="s">
        <v>123</v>
      </c>
      <c r="G29" s="136" t="s">
        <v>123</v>
      </c>
      <c r="H29" s="136" t="s">
        <v>123</v>
      </c>
      <c r="I29" s="136" t="s">
        <v>123</v>
      </c>
      <c r="J29" s="72">
        <v>0.29057920999999998</v>
      </c>
      <c r="K29" s="135" t="s">
        <v>932</v>
      </c>
      <c r="L29" s="196">
        <f>960/'[1]Average wages'!B20</f>
        <v>3.0654510194891797E-2</v>
      </c>
      <c r="M29" s="135" t="s">
        <v>1140</v>
      </c>
      <c r="N29" s="196">
        <v>0.48</v>
      </c>
      <c r="O29" s="196">
        <v>0.86854445000000002</v>
      </c>
      <c r="P29" s="477">
        <v>0.93560118999999997</v>
      </c>
    </row>
    <row r="30" spans="1:16" ht="70.400000000000006" customHeight="1" x14ac:dyDescent="0.25">
      <c r="A30" s="463" t="s">
        <v>68</v>
      </c>
      <c r="B30" s="138" t="s">
        <v>1134</v>
      </c>
      <c r="C30" s="139" t="s">
        <v>1135</v>
      </c>
      <c r="D30" s="139" t="str">
        <f>"Unemployment insurance recipients who take up employment with annual taxable income below EUR 8000 ("&amp;TEXT(100*8000/'[1]Average wages'!B20,0)&amp;"% of AW)"</f>
        <v>Unemployment insurance recipients who take up employment with annual taxable income below EUR 8000 (26% of AW)</v>
      </c>
      <c r="E30" s="138" t="s">
        <v>248</v>
      </c>
      <c r="F30" s="139" t="s">
        <v>123</v>
      </c>
      <c r="G30" s="139" t="s">
        <v>123</v>
      </c>
      <c r="H30" s="139" t="s">
        <v>123</v>
      </c>
      <c r="I30" s="139" t="s">
        <v>248</v>
      </c>
      <c r="J30" s="19" t="s">
        <v>95</v>
      </c>
      <c r="K30" s="138" t="s">
        <v>932</v>
      </c>
      <c r="L30" s="37" t="s">
        <v>1136</v>
      </c>
      <c r="M30" s="138" t="s">
        <v>95</v>
      </c>
      <c r="N30" s="37" t="s">
        <v>95</v>
      </c>
      <c r="O30" s="138" t="s">
        <v>95</v>
      </c>
      <c r="P30" s="506" t="s">
        <v>95</v>
      </c>
    </row>
    <row r="31" spans="1:16" ht="103.5" x14ac:dyDescent="0.25">
      <c r="A31" s="463" t="s">
        <v>68</v>
      </c>
      <c r="B31" s="138" t="s">
        <v>1137</v>
      </c>
      <c r="C31" s="139" t="s">
        <v>514</v>
      </c>
      <c r="D31" s="139" t="s">
        <v>933</v>
      </c>
      <c r="E31" s="138" t="s">
        <v>1138</v>
      </c>
      <c r="F31" s="139" t="s">
        <v>123</v>
      </c>
      <c r="G31" s="139" t="s">
        <v>123</v>
      </c>
      <c r="H31" s="139" t="s">
        <v>123</v>
      </c>
      <c r="I31" s="139" t="s">
        <v>248</v>
      </c>
      <c r="J31" s="139" t="s">
        <v>95</v>
      </c>
      <c r="K31" s="138" t="s">
        <v>934</v>
      </c>
      <c r="L31" s="447" t="s">
        <v>1139</v>
      </c>
      <c r="M31" s="447" t="s">
        <v>95</v>
      </c>
      <c r="N31" s="447" t="s">
        <v>95</v>
      </c>
      <c r="O31" s="447" t="s">
        <v>95</v>
      </c>
      <c r="P31" s="480" t="s">
        <v>95</v>
      </c>
    </row>
    <row r="32" spans="1:16" ht="80.5" x14ac:dyDescent="0.25">
      <c r="A32" s="134" t="s">
        <v>69</v>
      </c>
      <c r="B32" s="135" t="s">
        <v>925</v>
      </c>
      <c r="C32" s="136" t="s">
        <v>928</v>
      </c>
      <c r="D32" s="136" t="s">
        <v>926</v>
      </c>
      <c r="E32" s="135" t="s">
        <v>248</v>
      </c>
      <c r="F32" s="136" t="s">
        <v>123</v>
      </c>
      <c r="G32" s="136" t="s">
        <v>123</v>
      </c>
      <c r="H32" s="136" t="s">
        <v>903</v>
      </c>
      <c r="I32" s="136" t="s">
        <v>248</v>
      </c>
      <c r="J32" s="136" t="s">
        <v>123</v>
      </c>
      <c r="K32" s="135" t="s">
        <v>95</v>
      </c>
      <c r="L32" s="107" t="s">
        <v>927</v>
      </c>
      <c r="M32" s="107" t="s">
        <v>95</v>
      </c>
      <c r="N32" s="107" t="s">
        <v>95</v>
      </c>
      <c r="O32" s="478" t="s">
        <v>510</v>
      </c>
      <c r="P32" s="479" t="s">
        <v>510</v>
      </c>
    </row>
    <row r="33" spans="1:16" ht="57.5" x14ac:dyDescent="0.25">
      <c r="A33" s="463" t="s">
        <v>69</v>
      </c>
      <c r="B33" s="138" t="s">
        <v>918</v>
      </c>
      <c r="C33" s="139" t="s">
        <v>514</v>
      </c>
      <c r="D33" s="136" t="s">
        <v>919</v>
      </c>
      <c r="E33" s="138" t="s">
        <v>929</v>
      </c>
      <c r="F33" s="139" t="s">
        <v>123</v>
      </c>
      <c r="G33" s="139" t="s">
        <v>123</v>
      </c>
      <c r="H33" s="139" t="s">
        <v>920</v>
      </c>
      <c r="I33" s="139" t="s">
        <v>248</v>
      </c>
      <c r="J33" s="139" t="s">
        <v>921</v>
      </c>
      <c r="K33" s="138" t="s">
        <v>922</v>
      </c>
      <c r="L33" s="480" t="s">
        <v>923</v>
      </c>
      <c r="M33" s="480" t="s">
        <v>95</v>
      </c>
      <c r="N33" s="480" t="s">
        <v>95</v>
      </c>
      <c r="O33" s="481">
        <v>1E-3</v>
      </c>
      <c r="P33" s="479" t="s">
        <v>924</v>
      </c>
    </row>
    <row r="34" spans="1:16" ht="24" x14ac:dyDescent="0.25">
      <c r="A34" s="134" t="s">
        <v>70</v>
      </c>
      <c r="B34" s="260" t="s">
        <v>1447</v>
      </c>
      <c r="C34" s="136"/>
      <c r="D34" s="136"/>
      <c r="E34" s="135"/>
      <c r="F34" s="136"/>
      <c r="G34" s="136"/>
      <c r="H34" s="136"/>
      <c r="I34" s="136"/>
      <c r="J34" s="136"/>
      <c r="K34" s="135"/>
      <c r="L34" s="136"/>
      <c r="M34" s="136"/>
      <c r="N34" s="136"/>
      <c r="O34" s="137"/>
      <c r="P34" s="123"/>
    </row>
    <row r="35" spans="1:16" ht="24" x14ac:dyDescent="0.25">
      <c r="A35" s="573" t="s">
        <v>70</v>
      </c>
      <c r="B35" s="40" t="s">
        <v>1447</v>
      </c>
      <c r="C35" s="139"/>
      <c r="D35" s="139"/>
      <c r="E35" s="138"/>
      <c r="F35" s="139"/>
      <c r="G35" s="139"/>
      <c r="H35" s="139"/>
      <c r="I35" s="139"/>
      <c r="J35" s="139"/>
      <c r="K35" s="138"/>
      <c r="L35" s="139"/>
      <c r="M35" s="140"/>
      <c r="N35" s="140"/>
      <c r="O35" s="574"/>
      <c r="P35" s="197"/>
    </row>
    <row r="36" spans="1:16" ht="24" x14ac:dyDescent="0.25">
      <c r="A36" s="142" t="s">
        <v>70</v>
      </c>
      <c r="B36" s="230" t="s">
        <v>1447</v>
      </c>
      <c r="C36" s="139"/>
      <c r="D36" s="139"/>
      <c r="E36" s="138"/>
      <c r="F36" s="139"/>
      <c r="G36" s="139"/>
      <c r="H36" s="139"/>
      <c r="I36" s="139"/>
      <c r="J36" s="139"/>
      <c r="K36" s="138"/>
      <c r="L36" s="139"/>
      <c r="M36" s="140"/>
      <c r="N36" s="140"/>
      <c r="O36" s="575"/>
      <c r="P36" s="197"/>
    </row>
    <row r="37" spans="1:16" ht="47" x14ac:dyDescent="0.25">
      <c r="A37" s="482" t="s">
        <v>85</v>
      </c>
      <c r="B37" s="457" t="s">
        <v>650</v>
      </c>
      <c r="C37" s="136" t="s">
        <v>878</v>
      </c>
      <c r="D37" s="456" t="s">
        <v>887</v>
      </c>
      <c r="E37" s="457" t="s">
        <v>521</v>
      </c>
      <c r="F37" s="456" t="s">
        <v>123</v>
      </c>
      <c r="G37" s="456" t="s">
        <v>248</v>
      </c>
      <c r="H37" s="456" t="s">
        <v>123</v>
      </c>
      <c r="I37" s="456" t="s">
        <v>248</v>
      </c>
      <c r="J37" s="456" t="s">
        <v>123</v>
      </c>
      <c r="K37" s="457" t="s">
        <v>505</v>
      </c>
      <c r="L37" s="456" t="s">
        <v>907</v>
      </c>
      <c r="M37" s="456" t="s">
        <v>95</v>
      </c>
      <c r="N37" s="456" t="s">
        <v>95</v>
      </c>
      <c r="O37" s="458" t="s">
        <v>95</v>
      </c>
      <c r="P37" s="459" t="s">
        <v>95</v>
      </c>
    </row>
    <row r="38" spans="1:16" ht="69" x14ac:dyDescent="0.25">
      <c r="A38" s="482" t="s">
        <v>86</v>
      </c>
      <c r="B38" s="457" t="s">
        <v>1377</v>
      </c>
      <c r="C38" s="456" t="s">
        <v>499</v>
      </c>
      <c r="D38" s="456" t="s">
        <v>887</v>
      </c>
      <c r="E38" s="457" t="s">
        <v>895</v>
      </c>
      <c r="F38" s="456" t="s">
        <v>123</v>
      </c>
      <c r="G38" s="456" t="s">
        <v>248</v>
      </c>
      <c r="H38" s="456" t="s">
        <v>123</v>
      </c>
      <c r="I38" s="456" t="s">
        <v>248</v>
      </c>
      <c r="J38" s="456" t="s">
        <v>905</v>
      </c>
      <c r="K38" s="457" t="s">
        <v>505</v>
      </c>
      <c r="L38" s="456" t="s">
        <v>908</v>
      </c>
      <c r="M38" s="456" t="s">
        <v>95</v>
      </c>
      <c r="N38" s="456" t="s">
        <v>912</v>
      </c>
      <c r="O38" s="458" t="s">
        <v>95</v>
      </c>
      <c r="P38" s="459" t="s">
        <v>95</v>
      </c>
    </row>
    <row r="39" spans="1:16" x14ac:dyDescent="0.25">
      <c r="A39" s="482" t="s">
        <v>71</v>
      </c>
      <c r="B39" s="39" t="s">
        <v>1275</v>
      </c>
      <c r="C39" s="456"/>
      <c r="D39" s="456"/>
      <c r="E39" s="457"/>
      <c r="F39" s="456"/>
      <c r="G39" s="456"/>
      <c r="H39" s="456"/>
      <c r="I39" s="456"/>
      <c r="J39" s="456"/>
      <c r="K39" s="457"/>
      <c r="L39" s="456"/>
      <c r="M39" s="456"/>
      <c r="N39" s="456"/>
      <c r="O39" s="483"/>
      <c r="P39" s="484"/>
    </row>
    <row r="40" spans="1:16" ht="96.75" customHeight="1" x14ac:dyDescent="0.25">
      <c r="A40" s="485" t="s">
        <v>72</v>
      </c>
      <c r="B40" s="464" t="s">
        <v>706</v>
      </c>
      <c r="C40" s="465" t="s">
        <v>879</v>
      </c>
      <c r="D40" s="486" t="s">
        <v>888</v>
      </c>
      <c r="E40" s="465" t="s">
        <v>123</v>
      </c>
      <c r="F40" s="465" t="s">
        <v>899</v>
      </c>
      <c r="G40" s="465" t="s">
        <v>123</v>
      </c>
      <c r="H40" s="465" t="s">
        <v>123</v>
      </c>
      <c r="I40" s="465" t="s">
        <v>123</v>
      </c>
      <c r="J40" s="465" t="str">
        <f>"Yes, "&amp;TEXT(100*5072/'Average wages'!B26,0)&amp;"% of AW"</f>
        <v>Yes, 9% of AW</v>
      </c>
      <c r="K40" s="464" t="s">
        <v>494</v>
      </c>
      <c r="L40" s="465" t="str">
        <f>"EUR 2,881 ("&amp;TEXT(100*2881/'Average wages'!B26,0)&amp;"% of AW)"</f>
        <v>EUR 2,881 (5% of AW)</v>
      </c>
      <c r="M40" s="465" t="s">
        <v>95</v>
      </c>
      <c r="N40" s="465" t="s">
        <v>95</v>
      </c>
      <c r="O40" s="245" t="s">
        <v>95</v>
      </c>
      <c r="P40" s="239" t="str">
        <f>TEXT(100*30234/'Average wages'!B26,0)&amp;"% of AW"</f>
        <v>55% of AW</v>
      </c>
    </row>
    <row r="41" spans="1:16" ht="23" x14ac:dyDescent="0.25">
      <c r="A41" s="134" t="s">
        <v>187</v>
      </c>
      <c r="B41" s="135" t="s">
        <v>1447</v>
      </c>
      <c r="C41" s="136"/>
      <c r="D41" s="136"/>
      <c r="E41" s="135"/>
      <c r="F41" s="136"/>
      <c r="G41" s="136"/>
      <c r="H41" s="136"/>
      <c r="I41" s="136"/>
      <c r="J41" s="136"/>
      <c r="K41" s="135"/>
      <c r="L41" s="136"/>
      <c r="M41" s="136"/>
      <c r="N41" s="148"/>
      <c r="O41" s="149"/>
      <c r="P41" s="152"/>
    </row>
    <row r="42" spans="1:16" ht="24" x14ac:dyDescent="0.25">
      <c r="A42" s="142" t="s">
        <v>187</v>
      </c>
      <c r="B42" s="571" t="s">
        <v>1447</v>
      </c>
      <c r="C42" s="139"/>
      <c r="D42" s="139"/>
      <c r="E42" s="138"/>
      <c r="F42" s="139"/>
      <c r="G42" s="139"/>
      <c r="H42" s="139"/>
      <c r="I42" s="139"/>
      <c r="J42" s="139"/>
      <c r="K42" s="138"/>
      <c r="L42" s="139"/>
      <c r="M42" s="139"/>
      <c r="N42" s="19"/>
      <c r="O42" s="150"/>
      <c r="P42" s="151"/>
    </row>
    <row r="43" spans="1:16" ht="24" x14ac:dyDescent="0.25">
      <c r="A43" s="142" t="s">
        <v>187</v>
      </c>
      <c r="B43" s="571" t="s">
        <v>1447</v>
      </c>
      <c r="C43" s="139"/>
      <c r="D43" s="139"/>
      <c r="E43" s="138"/>
      <c r="F43" s="139"/>
      <c r="G43" s="139"/>
      <c r="H43" s="139"/>
      <c r="I43" s="139"/>
      <c r="J43" s="139"/>
      <c r="K43" s="138"/>
      <c r="L43" s="139"/>
      <c r="M43" s="139"/>
      <c r="N43" s="576"/>
      <c r="O43" s="140"/>
      <c r="P43" s="469"/>
    </row>
    <row r="44" spans="1:16" ht="35" x14ac:dyDescent="0.25">
      <c r="A44" s="301" t="s">
        <v>73</v>
      </c>
      <c r="B44" s="296" t="s">
        <v>717</v>
      </c>
      <c r="C44" s="443" t="s">
        <v>489</v>
      </c>
      <c r="D44" s="443" t="s">
        <v>889</v>
      </c>
      <c r="E44" s="296" t="s">
        <v>123</v>
      </c>
      <c r="F44" s="443" t="s">
        <v>248</v>
      </c>
      <c r="G44" s="443" t="s">
        <v>123</v>
      </c>
      <c r="H44" s="443" t="s">
        <v>901</v>
      </c>
      <c r="I44" s="443" t="s">
        <v>123</v>
      </c>
      <c r="J44" s="443" t="s">
        <v>123</v>
      </c>
      <c r="K44" s="296" t="s">
        <v>497</v>
      </c>
      <c r="L44" s="443" t="str">
        <f>"NOK 224,681 ("&amp;TEXT(100*224681/'Average wages'!B28,0)&amp;"% of AW)"</f>
        <v>NOK 224,681 (36% of AW)</v>
      </c>
      <c r="M44" s="443" t="s">
        <v>95</v>
      </c>
      <c r="N44" s="444">
        <v>0.45</v>
      </c>
      <c r="O44" s="445">
        <f>49929/'Average wages'!B28</f>
        <v>7.9584664725907028E-2</v>
      </c>
      <c r="P44" s="470">
        <f>((224681+0.45*49929)/0.45)/'Average wages'!B28</f>
        <v>0.87543308304799183</v>
      </c>
    </row>
    <row r="45" spans="1:16" ht="58.5" x14ac:dyDescent="0.25">
      <c r="A45" s="134" t="s">
        <v>244</v>
      </c>
      <c r="B45" s="135" t="s">
        <v>1378</v>
      </c>
      <c r="C45" s="136" t="s">
        <v>876</v>
      </c>
      <c r="D45" s="136" t="s">
        <v>898</v>
      </c>
      <c r="E45" s="135" t="s">
        <v>1379</v>
      </c>
      <c r="F45" s="136" t="s">
        <v>123</v>
      </c>
      <c r="G45" s="136" t="s">
        <v>123</v>
      </c>
      <c r="H45" s="136" t="s">
        <v>123</v>
      </c>
      <c r="I45" s="136" t="s">
        <v>248</v>
      </c>
      <c r="J45" s="136" t="s">
        <v>123</v>
      </c>
      <c r="K45" s="135" t="s">
        <v>95</v>
      </c>
      <c r="L45" s="456" t="s">
        <v>1380</v>
      </c>
      <c r="M45" s="136" t="s">
        <v>95</v>
      </c>
      <c r="N45" s="456" t="s">
        <v>95</v>
      </c>
      <c r="O45" s="458" t="s">
        <v>95</v>
      </c>
      <c r="P45" s="459" t="s">
        <v>95</v>
      </c>
    </row>
    <row r="46" spans="1:16" ht="149.5" x14ac:dyDescent="0.25">
      <c r="A46" s="454" t="s">
        <v>74</v>
      </c>
      <c r="B46" s="135" t="s">
        <v>1195</v>
      </c>
      <c r="C46" s="136" t="s">
        <v>876</v>
      </c>
      <c r="D46" s="136" t="s">
        <v>890</v>
      </c>
      <c r="E46" s="135" t="s">
        <v>1196</v>
      </c>
      <c r="F46" s="136" t="s">
        <v>123</v>
      </c>
      <c r="G46" s="136" t="s">
        <v>123</v>
      </c>
      <c r="H46" s="136" t="s">
        <v>1197</v>
      </c>
      <c r="I46" s="136" t="s">
        <v>248</v>
      </c>
      <c r="J46" s="136" t="s">
        <v>123</v>
      </c>
      <c r="K46" s="135" t="s">
        <v>503</v>
      </c>
      <c r="L46" s="136" t="s">
        <v>1198</v>
      </c>
      <c r="M46" s="136" t="s">
        <v>95</v>
      </c>
      <c r="N46" s="136" t="s">
        <v>1199</v>
      </c>
      <c r="O46" s="149" t="s">
        <v>511</v>
      </c>
      <c r="P46" s="487" t="s">
        <v>511</v>
      </c>
    </row>
    <row r="47" spans="1:16" ht="57.5" x14ac:dyDescent="0.25">
      <c r="A47" s="471" t="s">
        <v>74</v>
      </c>
      <c r="B47" s="447" t="s">
        <v>1200</v>
      </c>
      <c r="C47" s="448" t="s">
        <v>878</v>
      </c>
      <c r="D47" s="448" t="s">
        <v>887</v>
      </c>
      <c r="E47" s="447" t="s">
        <v>895</v>
      </c>
      <c r="F47" s="448" t="s">
        <v>248</v>
      </c>
      <c r="G47" s="448" t="s">
        <v>248</v>
      </c>
      <c r="H47" s="448" t="s">
        <v>123</v>
      </c>
      <c r="I47" s="448" t="s">
        <v>248</v>
      </c>
      <c r="J47" s="448" t="s">
        <v>123</v>
      </c>
      <c r="K47" s="447" t="s">
        <v>509</v>
      </c>
      <c r="L47" s="448" t="s">
        <v>909</v>
      </c>
      <c r="M47" s="448" t="s">
        <v>95</v>
      </c>
      <c r="N47" s="448" t="s">
        <v>512</v>
      </c>
      <c r="O47" s="475">
        <v>0</v>
      </c>
      <c r="P47" s="488" t="s">
        <v>95</v>
      </c>
    </row>
    <row r="48" spans="1:16" ht="69" x14ac:dyDescent="0.25">
      <c r="A48" s="134" t="s">
        <v>75</v>
      </c>
      <c r="B48" s="135" t="s">
        <v>501</v>
      </c>
      <c r="C48" s="136" t="s">
        <v>387</v>
      </c>
      <c r="D48" s="136" t="s">
        <v>882</v>
      </c>
      <c r="E48" s="135" t="s">
        <v>123</v>
      </c>
      <c r="F48" s="136" t="s">
        <v>123</v>
      </c>
      <c r="G48" s="136" t="s">
        <v>123</v>
      </c>
      <c r="H48" s="136" t="s">
        <v>123</v>
      </c>
      <c r="I48" s="136" t="s">
        <v>123</v>
      </c>
      <c r="J48" s="489" t="str">
        <f>"Yes, six times the monthly minimum wage ("&amp;TEXT(580*6/'Average wages'!B31,"0%")&amp;" of AW)"</f>
        <v>Yes, six times the monthly minimum wage (26% of AW)</v>
      </c>
      <c r="K48" s="135" t="s">
        <v>1141</v>
      </c>
      <c r="L48" s="136" t="s">
        <v>1142</v>
      </c>
      <c r="M48" s="136" t="s">
        <v>95</v>
      </c>
      <c r="N48" s="148">
        <v>0.19</v>
      </c>
      <c r="O48" s="137" t="s">
        <v>1143</v>
      </c>
      <c r="P48" s="152">
        <f>580*12/'Average wages'!B31</f>
        <v>0.52726047367650308</v>
      </c>
    </row>
    <row r="49" spans="1:16" ht="34.5" x14ac:dyDescent="0.25">
      <c r="A49" s="311" t="s">
        <v>75</v>
      </c>
      <c r="B49" s="138" t="s">
        <v>429</v>
      </c>
      <c r="C49" s="139" t="s">
        <v>438</v>
      </c>
      <c r="D49" s="139" t="s">
        <v>498</v>
      </c>
      <c r="E49" s="138" t="s">
        <v>123</v>
      </c>
      <c r="F49" s="139" t="s">
        <v>248</v>
      </c>
      <c r="G49" s="139" t="s">
        <v>248</v>
      </c>
      <c r="H49" s="139" t="s">
        <v>123</v>
      </c>
      <c r="I49" s="139" t="s">
        <v>123</v>
      </c>
      <c r="J49" s="489" t="str">
        <f>J48</f>
        <v>Yes, six times the monthly minimum wage (26% of AW)</v>
      </c>
      <c r="K49" s="138" t="s">
        <v>513</v>
      </c>
      <c r="L49" s="139" t="str">
        <f>"EUR 45.44/month ("&amp;TEXT(100*45.44*12/'Average wages'!B31,0)&amp;"% of AW)"</f>
        <v>EUR 45.44/month (4% of AW)</v>
      </c>
      <c r="M49" s="139" t="s">
        <v>95</v>
      </c>
      <c r="N49" s="19" t="s">
        <v>95</v>
      </c>
      <c r="O49" s="150" t="s">
        <v>95</v>
      </c>
      <c r="P49" s="151" t="s">
        <v>95</v>
      </c>
    </row>
    <row r="50" spans="1:16" ht="23" x14ac:dyDescent="0.25">
      <c r="A50" s="311" t="s">
        <v>75</v>
      </c>
      <c r="B50" s="138" t="s">
        <v>893</v>
      </c>
      <c r="C50" s="139" t="s">
        <v>892</v>
      </c>
      <c r="D50" s="139" t="s">
        <v>891</v>
      </c>
      <c r="E50" s="138" t="s">
        <v>123</v>
      </c>
      <c r="F50" s="139" t="s">
        <v>123</v>
      </c>
      <c r="G50" s="139" t="s">
        <v>123</v>
      </c>
      <c r="H50" s="139" t="s">
        <v>515</v>
      </c>
      <c r="I50" s="139" t="s">
        <v>248</v>
      </c>
      <c r="J50" s="139" t="str">
        <f>"Yes, minimum wage ("&amp;TEXT(100*580*12/'Average wages'!B31,0)&amp;"% of AW)"</f>
        <v>Yes, minimum wage (53% of AW)</v>
      </c>
      <c r="K50" s="138" t="s">
        <v>507</v>
      </c>
      <c r="L50" s="490" t="str">
        <f>"EUR 135.70 per month ("&amp;TEXT(100*135.7*12/'Average wages'!B31,0)&amp;"% of AW)"</f>
        <v>EUR 135.70 per month (12% of AW)</v>
      </c>
      <c r="M50" s="139" t="s">
        <v>95</v>
      </c>
      <c r="N50" s="491">
        <v>0.75</v>
      </c>
      <c r="O50" s="150">
        <v>0</v>
      </c>
      <c r="P50" s="151" t="s">
        <v>95</v>
      </c>
    </row>
    <row r="51" spans="1:16" ht="69" x14ac:dyDescent="0.25">
      <c r="A51" s="311" t="s">
        <v>75</v>
      </c>
      <c r="B51" s="138" t="s">
        <v>1144</v>
      </c>
      <c r="C51" s="139" t="s">
        <v>878</v>
      </c>
      <c r="D51" s="139" t="s">
        <v>887</v>
      </c>
      <c r="E51" s="138" t="s">
        <v>1145</v>
      </c>
      <c r="F51" s="139" t="s">
        <v>123</v>
      </c>
      <c r="G51" s="139" t="s">
        <v>123</v>
      </c>
      <c r="H51" s="139" t="s">
        <v>515</v>
      </c>
      <c r="I51" s="139" t="s">
        <v>248</v>
      </c>
      <c r="J51" s="139" t="str">
        <f>J50</f>
        <v>Yes, minimum wage (53% of AW)</v>
      </c>
      <c r="K51" s="138" t="s">
        <v>503</v>
      </c>
      <c r="L51" s="490" t="str">
        <f>"EUR 126.14 per month ("&amp;TEXT(126.14*12/'Average wages'!B31,"0%")&amp;" of AW) for first 12 months
EUR 63.07 per month ("&amp;TEXT(100*63.07*12/'Average wages'!B31,0)&amp;"% of AW) for next six months"</f>
        <v>EUR 126.14 per month (11% of AW) for first 12 months
EUR 63.07 per month (6% of AW) for next six months</v>
      </c>
      <c r="M51" s="139" t="s">
        <v>95</v>
      </c>
      <c r="N51" s="491" t="s">
        <v>894</v>
      </c>
      <c r="O51" s="150" t="s">
        <v>1143</v>
      </c>
      <c r="P51" s="151">
        <f>580*2*12/'Average wages'!B31</f>
        <v>1.0545209473530062</v>
      </c>
    </row>
    <row r="52" spans="1:16" ht="58.5" x14ac:dyDescent="0.25">
      <c r="A52" s="142" t="s">
        <v>75</v>
      </c>
      <c r="B52" s="447" t="s">
        <v>516</v>
      </c>
      <c r="C52" s="448" t="s">
        <v>499</v>
      </c>
      <c r="D52" s="448" t="s">
        <v>500</v>
      </c>
      <c r="E52" s="447" t="s">
        <v>248</v>
      </c>
      <c r="F52" s="448" t="s">
        <v>123</v>
      </c>
      <c r="G52" s="448" t="s">
        <v>123</v>
      </c>
      <c r="H52" s="448" t="s">
        <v>515</v>
      </c>
      <c r="I52" s="448" t="s">
        <v>248</v>
      </c>
      <c r="J52" s="448" t="s">
        <v>123</v>
      </c>
      <c r="K52" s="447" t="s">
        <v>274</v>
      </c>
      <c r="L52" s="448" t="s">
        <v>517</v>
      </c>
      <c r="M52" s="448" t="s">
        <v>95</v>
      </c>
      <c r="N52" s="233" t="s">
        <v>95</v>
      </c>
      <c r="O52" s="492" t="s">
        <v>95</v>
      </c>
      <c r="P52" s="493" t="s">
        <v>95</v>
      </c>
    </row>
    <row r="53" spans="1:16" ht="149.5" x14ac:dyDescent="0.25">
      <c r="A53" s="301" t="s">
        <v>76</v>
      </c>
      <c r="B53" s="296" t="s">
        <v>518</v>
      </c>
      <c r="C53" s="443" t="s">
        <v>880</v>
      </c>
      <c r="D53" s="443" t="s">
        <v>891</v>
      </c>
      <c r="E53" s="296" t="s">
        <v>123</v>
      </c>
      <c r="F53" s="443" t="s">
        <v>123</v>
      </c>
      <c r="G53" s="443" t="s">
        <v>123</v>
      </c>
      <c r="H53" s="494" t="s">
        <v>1146</v>
      </c>
      <c r="I53" s="443" t="s">
        <v>123</v>
      </c>
      <c r="J53" s="443" t="s">
        <v>123</v>
      </c>
      <c r="K53" s="296" t="s">
        <v>507</v>
      </c>
      <c r="L53" s="443" t="str">
        <f>"First adult: EUR 104.57 per month ("&amp;TEXT(100*104.57*12/'Average wages'!B32,0)&amp;"% of AW) if working 60-128 hours per month, EUR 205.11 per month ("&amp;TEXT(100*205.11*12/'Average wages'!B32,0)&amp;"% of AW) if working more than 128 hours per month.
Second adult: EUR 52.28 per month ("&amp;TEXT(100*52.28*12/'Average wages'!B32,0)&amp;"% of AW) if working 60-128 hours per month, EUR 104.57 per month ("&amp;TEXT(100*104.57*12/'Average wages'!B32,0)&amp;"% of AW) if working more than 128 hours per month."</f>
        <v>First adult: EUR 104.57 per month (6% of AW) if working 60-128 hours per month, EUR 205.11 per month (12% of AW) if working more than 128 hours per month.
Second adult: EUR 52.28 per month (3% of AW) if working 60-128 hours per month, EUR 104.57 per month (6% of AW) if working more than 128 hours per month.</v>
      </c>
      <c r="M53" s="443" t="s">
        <v>95</v>
      </c>
      <c r="N53" s="444">
        <v>1</v>
      </c>
      <c r="O53" s="445">
        <v>0</v>
      </c>
      <c r="P53" s="261">
        <f>5866/'Average wages'!B32</f>
        <v>0.28720650579354462</v>
      </c>
    </row>
    <row r="54" spans="1:16" x14ac:dyDescent="0.25">
      <c r="A54" s="301" t="s">
        <v>77</v>
      </c>
      <c r="B54" s="39" t="s">
        <v>1275</v>
      </c>
      <c r="C54" s="443"/>
      <c r="D54" s="443"/>
      <c r="E54" s="296"/>
      <c r="F54" s="443"/>
      <c r="G54" s="443"/>
      <c r="H54" s="494"/>
      <c r="I54" s="443"/>
      <c r="J54" s="443"/>
      <c r="K54" s="296"/>
      <c r="L54" s="443"/>
      <c r="M54" s="443"/>
      <c r="N54" s="444"/>
      <c r="O54" s="445"/>
      <c r="P54" s="261"/>
    </row>
    <row r="55" spans="1:16" ht="46" x14ac:dyDescent="0.25">
      <c r="A55" s="482" t="s">
        <v>78</v>
      </c>
      <c r="B55" s="457" t="s">
        <v>492</v>
      </c>
      <c r="C55" s="456" t="s">
        <v>387</v>
      </c>
      <c r="D55" s="456" t="s">
        <v>493</v>
      </c>
      <c r="E55" s="457" t="s">
        <v>123</v>
      </c>
      <c r="F55" s="456" t="s">
        <v>123</v>
      </c>
      <c r="G55" s="456" t="s">
        <v>123</v>
      </c>
      <c r="H55" s="456" t="s">
        <v>123</v>
      </c>
      <c r="I55" s="456" t="s">
        <v>123</v>
      </c>
      <c r="J55" s="456" t="s">
        <v>123</v>
      </c>
      <c r="K55" s="457" t="s">
        <v>503</v>
      </c>
      <c r="L55" s="456" t="str">
        <f>"Depends on local tax rate, at average local tax rate approximately SEK 31,000 ("&amp;TEXT(31000/'Average wages'!B34,"0%")&amp;" of AW)"</f>
        <v>Depends on local tax rate, at average local tax rate approximately SEK 31,000 (7% of AW)</v>
      </c>
      <c r="M55" s="456" t="s">
        <v>1034</v>
      </c>
      <c r="N55" s="227">
        <v>0.03</v>
      </c>
      <c r="O55" s="227">
        <f>13.54*47300/'Average wages'!B34</f>
        <v>1.3750271803606389</v>
      </c>
      <c r="P55" s="530">
        <f>35.4*47300/'Average wages'!B34</f>
        <v>3.5949750505736056</v>
      </c>
    </row>
    <row r="56" spans="1:16" ht="80.5" x14ac:dyDescent="0.25">
      <c r="A56" s="134" t="s">
        <v>79</v>
      </c>
      <c r="B56" s="447" t="s">
        <v>502</v>
      </c>
      <c r="C56" s="448" t="s">
        <v>432</v>
      </c>
      <c r="D56" s="448" t="s">
        <v>493</v>
      </c>
      <c r="E56" s="447" t="s">
        <v>123</v>
      </c>
      <c r="F56" s="448" t="s">
        <v>123</v>
      </c>
      <c r="G56" s="448" t="s">
        <v>123</v>
      </c>
      <c r="H56" s="448" t="s">
        <v>123</v>
      </c>
      <c r="I56" s="448" t="s">
        <v>123</v>
      </c>
      <c r="J56" s="448" t="s">
        <v>123</v>
      </c>
      <c r="K56" s="447" t="s">
        <v>504</v>
      </c>
      <c r="L56" s="448" t="str">
        <f>"CHF 4,000 ("&amp;TEXT(4000/'Average wages'!B35,"0%")&amp;" of AW)"</f>
        <v>CHF 4,000 (5% of AW)</v>
      </c>
      <c r="M56" s="495">
        <v>0.03</v>
      </c>
      <c r="N56" s="448" t="s">
        <v>95</v>
      </c>
      <c r="O56" s="492" t="str">
        <f>"Maximum tax allowance reached at approximately "&amp;TEXT(148200/'Average wages'!B35,"0%")&amp;" of AW, no phase-out"</f>
        <v>Maximum tax allowance reached at approximately 170% of AW, no phase-out</v>
      </c>
      <c r="P56" s="493" t="s">
        <v>95</v>
      </c>
    </row>
    <row r="57" spans="1:16" x14ac:dyDescent="0.25">
      <c r="A57" s="301" t="s">
        <v>80</v>
      </c>
      <c r="B57" s="39" t="s">
        <v>1275</v>
      </c>
      <c r="C57" s="443"/>
      <c r="D57" s="443"/>
      <c r="E57" s="296"/>
      <c r="F57" s="443"/>
      <c r="G57" s="443"/>
      <c r="H57" s="494"/>
      <c r="I57" s="443"/>
      <c r="J57" s="443"/>
      <c r="K57" s="296"/>
      <c r="L57" s="443"/>
      <c r="M57" s="443"/>
      <c r="N57" s="444"/>
      <c r="O57" s="445"/>
      <c r="P57" s="261"/>
    </row>
    <row r="58" spans="1:16" ht="210" customHeight="1" x14ac:dyDescent="0.25">
      <c r="A58" s="394" t="s">
        <v>1433</v>
      </c>
      <c r="B58" s="496" t="s">
        <v>1214</v>
      </c>
      <c r="C58" s="465" t="s">
        <v>1226</v>
      </c>
      <c r="D58" s="465" t="s">
        <v>1227</v>
      </c>
      <c r="E58" s="464" t="s">
        <v>123</v>
      </c>
      <c r="F58" s="465" t="s">
        <v>123</v>
      </c>
      <c r="G58" s="465" t="s">
        <v>248</v>
      </c>
      <c r="H58" s="465" t="s">
        <v>123</v>
      </c>
      <c r="I58" s="465" t="s">
        <v>123</v>
      </c>
      <c r="J58" s="465" t="s">
        <v>123</v>
      </c>
      <c r="K58" s="464" t="s">
        <v>1228</v>
      </c>
      <c r="L58" s="465" t="str">
        <f>"GBP 13, 333 ("&amp;TEXT(11123.64*100/'Average wages'!B37,0)&amp;"% of AW)"</f>
        <v>GBP 13, 333 (27% of AW)</v>
      </c>
      <c r="M58" s="468" t="s">
        <v>95</v>
      </c>
      <c r="N58" s="245">
        <v>0.63</v>
      </c>
      <c r="O58" s="497">
        <f>6166/'Average wages'!B37</f>
        <v>0.14748625859916825</v>
      </c>
      <c r="P58" s="197">
        <f>29500/'Average wages'!B37</f>
        <v>0.70561865531551471</v>
      </c>
    </row>
    <row r="59" spans="1:16" ht="103.5" x14ac:dyDescent="0.25">
      <c r="A59" s="98" t="s">
        <v>1434</v>
      </c>
      <c r="B59" s="296" t="s">
        <v>519</v>
      </c>
      <c r="C59" s="443" t="s">
        <v>387</v>
      </c>
      <c r="D59" s="443" t="s">
        <v>896</v>
      </c>
      <c r="E59" s="296" t="s">
        <v>123</v>
      </c>
      <c r="F59" s="443" t="s">
        <v>123</v>
      </c>
      <c r="G59" s="443" t="s">
        <v>248</v>
      </c>
      <c r="H59" s="443" t="s">
        <v>123</v>
      </c>
      <c r="I59" s="443" t="s">
        <v>123</v>
      </c>
      <c r="J59" s="443" t="s">
        <v>123</v>
      </c>
      <c r="K59" s="296" t="s">
        <v>509</v>
      </c>
      <c r="L59" s="443" t="str">
        <f>"USD 7,033 ("&amp;TEXT(100*7033/'Average wages'!B38,0)&amp;"% of AW) without children;
USD 10,541 ("&amp;TEXT(100*10541/'Average wages'!B38,0)&amp;"% of AW) with one child;
USD 14,800 ("&amp;TEXT(100*14800/'Average wages'!B38,0)&amp;"% of AW) with 2 or more children"</f>
        <v>USD 7,033 (12% of AW) without children;
USD 10,541 (18% of AW) with one child;
USD 14,800 (25% of AW) with 2 or more children</v>
      </c>
      <c r="M59" s="443" t="s">
        <v>911</v>
      </c>
      <c r="N59" s="443" t="s">
        <v>910</v>
      </c>
      <c r="O59" s="445">
        <f>8787/'Average wages'!B38</f>
        <v>0.14591403993591603</v>
      </c>
      <c r="P59" s="470">
        <f>15820/'Average wages'!B38</f>
        <v>0.2627017311694767</v>
      </c>
    </row>
    <row r="60" spans="1:16" x14ac:dyDescent="0.25">
      <c r="A60" s="21" t="s">
        <v>1149</v>
      </c>
      <c r="B60" s="143"/>
      <c r="C60" s="144"/>
      <c r="D60" s="144"/>
      <c r="E60" s="143"/>
      <c r="F60" s="144"/>
      <c r="G60" s="144"/>
      <c r="H60" s="144"/>
      <c r="I60" s="144"/>
      <c r="J60" s="144"/>
      <c r="K60" s="143"/>
      <c r="L60" s="144"/>
      <c r="M60" s="144"/>
      <c r="N60" s="144"/>
      <c r="O60" s="144"/>
      <c r="P60" s="145"/>
    </row>
    <row r="61" spans="1:16" ht="69" x14ac:dyDescent="0.25">
      <c r="A61" s="482" t="s">
        <v>83</v>
      </c>
      <c r="B61" s="457" t="s">
        <v>917</v>
      </c>
      <c r="C61" s="456" t="s">
        <v>514</v>
      </c>
      <c r="D61" s="456" t="s">
        <v>897</v>
      </c>
      <c r="E61" s="457" t="s">
        <v>248</v>
      </c>
      <c r="F61" s="456" t="s">
        <v>123</v>
      </c>
      <c r="G61" s="456" t="s">
        <v>123</v>
      </c>
      <c r="H61" s="456" t="s">
        <v>904</v>
      </c>
      <c r="I61" s="456" t="s">
        <v>248</v>
      </c>
      <c r="J61" s="456" t="s">
        <v>939</v>
      </c>
      <c r="K61" s="457" t="s">
        <v>274</v>
      </c>
      <c r="L61" s="456" t="s">
        <v>915</v>
      </c>
      <c r="M61" s="456" t="s">
        <v>95</v>
      </c>
      <c r="N61" s="456" t="s">
        <v>95</v>
      </c>
      <c r="O61" s="458" t="s">
        <v>95</v>
      </c>
      <c r="P61" s="459" t="s">
        <v>916</v>
      </c>
    </row>
    <row r="62" spans="1:16" x14ac:dyDescent="0.25">
      <c r="A62" s="97" t="s">
        <v>84</v>
      </c>
      <c r="B62" s="260" t="s">
        <v>1275</v>
      </c>
      <c r="C62" s="456"/>
      <c r="D62" s="461"/>
      <c r="E62" s="394"/>
      <c r="F62" s="461"/>
      <c r="G62" s="461"/>
      <c r="H62" s="461"/>
      <c r="I62" s="461"/>
      <c r="J62" s="461"/>
      <c r="K62" s="394"/>
      <c r="L62" s="461"/>
      <c r="M62" s="461"/>
      <c r="N62" s="461"/>
      <c r="O62" s="498"/>
      <c r="P62" s="459"/>
    </row>
    <row r="63" spans="1:16" x14ac:dyDescent="0.25">
      <c r="A63" s="97" t="s">
        <v>585</v>
      </c>
      <c r="B63" s="260" t="s">
        <v>1275</v>
      </c>
      <c r="C63" s="456"/>
      <c r="D63" s="461"/>
      <c r="E63" s="394"/>
      <c r="F63" s="461"/>
      <c r="G63" s="461"/>
      <c r="H63" s="461"/>
      <c r="I63" s="461"/>
      <c r="J63" s="461"/>
      <c r="K63" s="394"/>
      <c r="L63" s="461"/>
      <c r="M63" s="461"/>
      <c r="N63" s="461"/>
      <c r="O63" s="498"/>
      <c r="P63" s="459"/>
    </row>
    <row r="64" spans="1:16" ht="126.5" x14ac:dyDescent="0.25">
      <c r="A64" s="397" t="s">
        <v>192</v>
      </c>
      <c r="B64" s="394" t="s">
        <v>874</v>
      </c>
      <c r="C64" s="456" t="s">
        <v>489</v>
      </c>
      <c r="D64" s="461" t="s">
        <v>886</v>
      </c>
      <c r="E64" s="394" t="s">
        <v>123</v>
      </c>
      <c r="F64" s="461" t="s">
        <v>248</v>
      </c>
      <c r="G64" s="461" t="s">
        <v>248</v>
      </c>
      <c r="H64" s="461" t="s">
        <v>123</v>
      </c>
      <c r="I64" s="461" t="s">
        <v>123</v>
      </c>
      <c r="J64" s="461" t="str">
        <f>"Yes: 
- EUR 10000 for two-earner couple with children ("&amp;TEXT(10000/'[1]Average wages'!B43,"0%")&amp;" of AW)
- EUR 6600 for a one-earner couples and single persons with children ("&amp;TEXT(6600/'[1]Average wages'!B43,"0%")&amp;" of AW)
Earnings refer to the entire family"</f>
        <v>Yes: 
- EUR 10000 for two-earner couple with children (39% of AW)
- EUR 6600 for a one-earner couples and single persons with children (25% of AW)
Earnings refer to the entire family</v>
      </c>
      <c r="K64" s="394" t="s">
        <v>654</v>
      </c>
      <c r="L64" s="394" t="str">
        <f>"- EUR 1,300 per child for a two-earner couple ("&amp;TEXT(1300/'[1]Average wages'!B43,"0%")&amp;" of AW) 
- EUR 1,350 per child for alone parent ("&amp;TEXT(1300/'[1]Average wages'!B43,"0%")&amp;" of AW)
- EUR 550 per child for one-earner couple ("&amp;TEXT(550/'[1]Average wages'!B43,"0%")&amp;" of AW)"</f>
        <v>- EUR 1,300 per child for a two-earner couple (5% of AW) 
- EUR 1,350 per child for alone parent (5% of AW)
- EUR 550 per child for one-earner couple (2% of AW)</v>
      </c>
      <c r="M64" s="461" t="s">
        <v>1147</v>
      </c>
      <c r="N64" s="461" t="s">
        <v>1148</v>
      </c>
      <c r="O64" s="462" t="str">
        <f>TEXT(10511.99/'[1]Average wages'!B43,"0%")&amp;" for lone parents;
"&amp;TEXT(17911.99/'[1]Average wages'!B43,"0%")&amp;" for two-earner couples;
"&amp;TEXT(13812.99/'[1]Average wages'!B43,"0%")&amp;" for single-earner couples"</f>
        <v>41% for lone parents;
69% for two-earner couples;
53% for single-earner couples</v>
      </c>
      <c r="P64" s="530" t="str">
        <f>TEXT(17312/'[1]Average wages'!B43,"0%")&amp;" for lone parents and one-earner couples;
"&amp;TEXT(24812/'[1]Average wages'!B43,"0%")&amp;" for two-earner couples"</f>
        <v>67% for lone parents and one-earner couples;
96% for two-earner couples</v>
      </c>
    </row>
    <row r="65" spans="1:16" ht="57.5" x14ac:dyDescent="0.25">
      <c r="A65" s="397" t="s">
        <v>192</v>
      </c>
      <c r="B65" s="394" t="s">
        <v>935</v>
      </c>
      <c r="C65" s="461" t="s">
        <v>514</v>
      </c>
      <c r="D65" s="461" t="s">
        <v>936</v>
      </c>
      <c r="E65" s="394" t="s">
        <v>937</v>
      </c>
      <c r="F65" s="461" t="s">
        <v>123</v>
      </c>
      <c r="G65" s="461" t="s">
        <v>123</v>
      </c>
      <c r="H65" s="461" t="s">
        <v>123</v>
      </c>
      <c r="I65" s="461" t="s">
        <v>123</v>
      </c>
      <c r="J65" s="461" t="s">
        <v>940</v>
      </c>
      <c r="K65" s="394" t="s">
        <v>95</v>
      </c>
      <c r="L65" s="394" t="s">
        <v>938</v>
      </c>
      <c r="M65" s="461" t="s">
        <v>95</v>
      </c>
      <c r="N65" s="461" t="s">
        <v>95</v>
      </c>
      <c r="O65" s="462" t="s">
        <v>95</v>
      </c>
      <c r="P65" s="479" t="s">
        <v>95</v>
      </c>
    </row>
    <row r="66" spans="1:16" ht="34.5" x14ac:dyDescent="0.25">
      <c r="A66" s="397" t="s">
        <v>87</v>
      </c>
      <c r="B66" s="394" t="s">
        <v>941</v>
      </c>
      <c r="C66" s="461" t="s">
        <v>514</v>
      </c>
      <c r="D66" s="461" t="s">
        <v>898</v>
      </c>
      <c r="E66" s="394" t="s">
        <v>942</v>
      </c>
      <c r="F66" s="461" t="s">
        <v>123</v>
      </c>
      <c r="G66" s="461" t="s">
        <v>123</v>
      </c>
      <c r="H66" s="461" t="s">
        <v>123</v>
      </c>
      <c r="I66" s="461" t="s">
        <v>248</v>
      </c>
      <c r="J66" s="461" t="s">
        <v>123</v>
      </c>
      <c r="K66" s="394" t="s">
        <v>274</v>
      </c>
      <c r="L66" s="461" t="s">
        <v>520</v>
      </c>
      <c r="M66" s="461" t="s">
        <v>95</v>
      </c>
      <c r="N66" s="461" t="s">
        <v>95</v>
      </c>
      <c r="O66" s="462" t="s">
        <v>95</v>
      </c>
      <c r="P66" s="479" t="s">
        <v>95</v>
      </c>
    </row>
    <row r="67" spans="1:16" ht="46" x14ac:dyDescent="0.25">
      <c r="A67" s="499" t="s">
        <v>87</v>
      </c>
      <c r="B67" s="473" t="s">
        <v>943</v>
      </c>
      <c r="C67" s="474" t="s">
        <v>489</v>
      </c>
      <c r="D67" s="474" t="s">
        <v>944</v>
      </c>
      <c r="E67" s="473" t="s">
        <v>123</v>
      </c>
      <c r="F67" s="474" t="s">
        <v>123</v>
      </c>
      <c r="G67" s="474" t="s">
        <v>123</v>
      </c>
      <c r="H67" s="474" t="s">
        <v>123</v>
      </c>
      <c r="I67" s="474" t="s">
        <v>123</v>
      </c>
      <c r="J67" s="474" t="s">
        <v>623</v>
      </c>
      <c r="K67" s="473" t="s">
        <v>522</v>
      </c>
      <c r="L67" s="474" t="s">
        <v>945</v>
      </c>
      <c r="M67" s="474" t="s">
        <v>95</v>
      </c>
      <c r="N67" s="474" t="s">
        <v>95</v>
      </c>
      <c r="O67" s="449" t="s">
        <v>95</v>
      </c>
      <c r="P67" s="528" t="s">
        <v>946</v>
      </c>
    </row>
    <row r="68" spans="1:16" x14ac:dyDescent="0.25">
      <c r="A68" s="86"/>
      <c r="B68" s="86"/>
      <c r="C68" s="86"/>
      <c r="D68" s="86"/>
      <c r="E68" s="86"/>
      <c r="F68" s="86"/>
      <c r="G68" s="86"/>
      <c r="H68" s="86"/>
      <c r="I68" s="86"/>
      <c r="J68" s="86"/>
      <c r="K68" s="86"/>
      <c r="L68" s="86"/>
      <c r="M68" s="86"/>
      <c r="N68" s="86"/>
      <c r="O68" s="86"/>
      <c r="P68" s="86"/>
    </row>
    <row r="69" spans="1:16" ht="13" x14ac:dyDescent="0.3">
      <c r="A69" s="146" t="s">
        <v>88</v>
      </c>
      <c r="B69" s="86"/>
      <c r="C69" s="86"/>
      <c r="D69" s="86"/>
      <c r="E69" s="86"/>
      <c r="F69" s="86"/>
      <c r="G69" s="86"/>
      <c r="H69" s="86"/>
      <c r="I69" s="86"/>
      <c r="J69" s="86"/>
      <c r="K69" s="86"/>
      <c r="L69" s="86"/>
      <c r="M69" s="86"/>
      <c r="N69" s="86"/>
      <c r="O69" s="86"/>
      <c r="P69" s="86"/>
    </row>
    <row r="70" spans="1:16" x14ac:dyDescent="0.25">
      <c r="A70" s="86" t="s">
        <v>599</v>
      </c>
      <c r="B70" s="86"/>
      <c r="C70" s="86"/>
      <c r="D70" s="86"/>
      <c r="E70" s="86"/>
      <c r="F70" s="86"/>
      <c r="G70" s="86"/>
      <c r="H70" s="86"/>
      <c r="I70" s="86"/>
      <c r="J70" s="86"/>
      <c r="K70" s="86"/>
      <c r="L70" s="86"/>
      <c r="M70" s="86"/>
      <c r="N70" s="86"/>
      <c r="O70" s="86"/>
      <c r="P70" s="86"/>
    </row>
    <row r="71" spans="1:16" x14ac:dyDescent="0.25">
      <c r="A71" s="555" t="s">
        <v>89</v>
      </c>
      <c r="B71" s="86"/>
      <c r="C71" s="86"/>
      <c r="D71" s="86"/>
      <c r="E71" s="86"/>
      <c r="F71" s="86"/>
      <c r="G71" s="86"/>
      <c r="H71" s="86"/>
      <c r="I71" s="86"/>
      <c r="J71" s="86"/>
      <c r="K71" s="86"/>
      <c r="L71" s="86"/>
      <c r="M71" s="86"/>
      <c r="N71" s="86"/>
      <c r="O71" s="86"/>
      <c r="P71" s="86"/>
    </row>
    <row r="72" spans="1:16" x14ac:dyDescent="0.25">
      <c r="A72" s="86" t="s">
        <v>1422</v>
      </c>
      <c r="B72" s="147"/>
      <c r="C72" s="147"/>
      <c r="D72" s="86"/>
      <c r="E72" s="86"/>
      <c r="F72" s="86"/>
      <c r="G72" s="86"/>
      <c r="H72" s="86"/>
      <c r="I72" s="86"/>
      <c r="J72" s="86"/>
      <c r="K72" s="86"/>
      <c r="L72" s="86"/>
      <c r="M72" s="86"/>
      <c r="N72" s="86"/>
      <c r="O72" s="86"/>
      <c r="P72" s="86"/>
    </row>
    <row r="73" spans="1:16" x14ac:dyDescent="0.25">
      <c r="A73" s="86" t="s">
        <v>1423</v>
      </c>
      <c r="B73" s="147"/>
      <c r="C73" s="147"/>
      <c r="D73" s="86"/>
      <c r="E73" s="86"/>
      <c r="F73" s="86"/>
      <c r="G73" s="86"/>
      <c r="H73" s="86"/>
      <c r="I73" s="86"/>
      <c r="J73" s="86"/>
      <c r="K73" s="86"/>
      <c r="L73" s="86"/>
      <c r="M73" s="86"/>
      <c r="N73" s="86"/>
      <c r="O73" s="86"/>
      <c r="P73" s="86"/>
    </row>
    <row r="74" spans="1:16" x14ac:dyDescent="0.25">
      <c r="A74" s="86" t="s">
        <v>523</v>
      </c>
      <c r="B74" s="147"/>
      <c r="C74" s="147"/>
      <c r="D74" s="86"/>
      <c r="E74" s="86"/>
      <c r="F74" s="86"/>
      <c r="G74" s="86"/>
      <c r="H74" s="86"/>
      <c r="I74" s="86"/>
      <c r="J74" s="86"/>
      <c r="K74" s="86"/>
      <c r="L74" s="86"/>
      <c r="M74" s="86"/>
      <c r="N74" s="86"/>
      <c r="O74" s="86"/>
      <c r="P74" s="86"/>
    </row>
    <row r="75" spans="1:16" x14ac:dyDescent="0.25">
      <c r="A75" s="86" t="s">
        <v>1435</v>
      </c>
      <c r="B75" s="147"/>
      <c r="C75" s="147"/>
      <c r="D75" s="86"/>
      <c r="E75" s="86"/>
      <c r="F75" s="86"/>
      <c r="G75" s="86"/>
      <c r="H75" s="86"/>
      <c r="I75" s="86"/>
      <c r="J75" s="86"/>
      <c r="K75" s="86"/>
      <c r="L75" s="86"/>
      <c r="M75" s="86"/>
      <c r="N75" s="86"/>
      <c r="O75" s="86"/>
      <c r="P75" s="86"/>
    </row>
    <row r="76" spans="1:16" x14ac:dyDescent="0.25">
      <c r="A76" s="86" t="s">
        <v>1436</v>
      </c>
      <c r="B76" s="147"/>
      <c r="C76" s="147"/>
      <c r="D76" s="86"/>
      <c r="E76" s="86"/>
      <c r="F76" s="86"/>
      <c r="G76" s="86"/>
      <c r="H76" s="86"/>
      <c r="I76" s="86"/>
      <c r="J76" s="86"/>
      <c r="K76" s="86"/>
      <c r="L76" s="86"/>
      <c r="M76" s="86"/>
      <c r="N76" s="86"/>
      <c r="O76" s="86"/>
      <c r="P76" s="86"/>
    </row>
    <row r="77" spans="1:16" x14ac:dyDescent="0.25">
      <c r="A77" s="86" t="s">
        <v>1448</v>
      </c>
      <c r="B77" s="147"/>
      <c r="C77" s="147"/>
      <c r="D77" s="86"/>
      <c r="E77" s="86"/>
      <c r="F77" s="86"/>
      <c r="G77" s="86"/>
      <c r="H77" s="86"/>
      <c r="I77" s="86"/>
      <c r="J77" s="86"/>
      <c r="K77" s="86"/>
      <c r="L77" s="86"/>
      <c r="M77" s="86"/>
      <c r="N77" s="86"/>
      <c r="O77" s="86"/>
      <c r="P77" s="86"/>
    </row>
    <row r="78" spans="1:16" x14ac:dyDescent="0.25">
      <c r="A78" s="86" t="s">
        <v>1449</v>
      </c>
      <c r="B78" s="147"/>
      <c r="C78" s="147"/>
      <c r="D78" s="86"/>
      <c r="E78" s="86"/>
      <c r="F78" s="86"/>
      <c r="G78" s="86"/>
      <c r="H78" s="86"/>
      <c r="I78" s="86"/>
      <c r="J78" s="86"/>
      <c r="K78" s="86"/>
      <c r="L78" s="86"/>
      <c r="M78" s="86"/>
      <c r="N78" s="86"/>
      <c r="O78" s="86"/>
      <c r="P78" s="86"/>
    </row>
    <row r="79" spans="1:16" x14ac:dyDescent="0.25">
      <c r="B79" s="147"/>
      <c r="C79" s="147"/>
      <c r="D79" s="86"/>
      <c r="E79" s="86"/>
      <c r="F79" s="86"/>
      <c r="G79" s="86"/>
      <c r="H79" s="86"/>
      <c r="I79" s="86"/>
      <c r="J79" s="86"/>
      <c r="K79" s="86"/>
      <c r="L79" s="86"/>
      <c r="M79" s="86"/>
      <c r="N79" s="86"/>
      <c r="O79" s="86"/>
      <c r="P79" s="86"/>
    </row>
    <row r="80" spans="1:16" x14ac:dyDescent="0.25">
      <c r="A80" s="141"/>
      <c r="B80" s="86"/>
      <c r="C80" s="86"/>
      <c r="D80" s="86"/>
      <c r="E80" s="86"/>
      <c r="F80" s="86"/>
      <c r="G80" s="86"/>
      <c r="H80" s="86"/>
      <c r="I80" s="86"/>
      <c r="J80" s="86"/>
      <c r="K80" s="86"/>
      <c r="L80" s="86"/>
      <c r="M80" s="86"/>
      <c r="N80" s="86"/>
      <c r="O80" s="86"/>
      <c r="P80" s="86"/>
    </row>
    <row r="81" spans="1:16" ht="13" x14ac:dyDescent="0.3">
      <c r="A81" s="1" t="s">
        <v>91</v>
      </c>
      <c r="B81" s="153" t="s">
        <v>6</v>
      </c>
      <c r="C81" s="86"/>
      <c r="D81" s="86"/>
      <c r="E81" s="86"/>
      <c r="F81" s="86"/>
      <c r="G81" s="86"/>
      <c r="H81" s="86"/>
      <c r="I81" s="86"/>
      <c r="J81" s="86"/>
      <c r="K81" s="86"/>
      <c r="L81" s="86"/>
      <c r="M81" s="86"/>
      <c r="N81" s="86"/>
      <c r="O81" s="86"/>
      <c r="P81" s="86"/>
    </row>
  </sheetData>
  <autoFilter ref="A7:A67"/>
  <mergeCells count="7">
    <mergeCell ref="A1:P1"/>
    <mergeCell ref="A2:P2"/>
    <mergeCell ref="B4:B5"/>
    <mergeCell ref="C4:C5"/>
    <mergeCell ref="D4:D5"/>
    <mergeCell ref="E4:J4"/>
    <mergeCell ref="K4:P4"/>
  </mergeCells>
  <hyperlinks>
    <hyperlink ref="B81" r:id="rId1"/>
  </hyperlink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H68"/>
  <sheetViews>
    <sheetView zoomScale="70" zoomScaleNormal="70" workbookViewId="0">
      <selection sqref="A1:H1"/>
    </sheetView>
  </sheetViews>
  <sheetFormatPr defaultColWidth="8.6328125" defaultRowHeight="12.5" x14ac:dyDescent="0.25"/>
  <cols>
    <col min="1" max="2" width="8.6328125" style="23"/>
    <col min="3" max="3" width="17" style="23" customWidth="1"/>
    <col min="4" max="4" width="17.453125" style="23" customWidth="1"/>
    <col min="5" max="5" width="21.08984375" style="23" customWidth="1"/>
    <col min="6" max="6" width="19.54296875" style="23" bestFit="1" customWidth="1"/>
    <col min="7" max="7" width="13.08984375" style="23" bestFit="1" customWidth="1"/>
    <col min="8" max="8" width="12.90625" style="23" bestFit="1" customWidth="1"/>
    <col min="9" max="16384" width="8.6328125" style="23"/>
  </cols>
  <sheetData>
    <row r="1" spans="1:8" ht="17.399999999999999" x14ac:dyDescent="0.3">
      <c r="A1" s="579" t="s">
        <v>526</v>
      </c>
      <c r="B1" s="579"/>
      <c r="C1" s="579"/>
      <c r="D1" s="579"/>
      <c r="E1" s="579"/>
      <c r="F1" s="579"/>
      <c r="G1" s="579"/>
      <c r="H1" s="579"/>
    </row>
    <row r="2" spans="1:8" ht="17.399999999999999" x14ac:dyDescent="0.3">
      <c r="A2" s="579">
        <v>2020</v>
      </c>
      <c r="B2" s="579"/>
      <c r="C2" s="579"/>
      <c r="D2" s="579"/>
      <c r="E2" s="579"/>
      <c r="F2" s="579"/>
      <c r="G2" s="579"/>
      <c r="H2" s="579"/>
    </row>
    <row r="3" spans="1:8" ht="13.5" hidden="1" customHeight="1" x14ac:dyDescent="0.25">
      <c r="A3" s="6" t="s">
        <v>5</v>
      </c>
      <c r="B3" s="555"/>
      <c r="C3" s="555" t="s">
        <v>339</v>
      </c>
      <c r="D3" s="555" t="s">
        <v>339</v>
      </c>
      <c r="E3" s="555" t="s">
        <v>339</v>
      </c>
      <c r="F3" s="555" t="s">
        <v>339</v>
      </c>
      <c r="G3" s="555" t="s">
        <v>339</v>
      </c>
      <c r="H3" s="555" t="s">
        <v>339</v>
      </c>
    </row>
    <row r="4" spans="1:8" ht="13.25" hidden="1" x14ac:dyDescent="0.25">
      <c r="A4" s="54" t="s">
        <v>10</v>
      </c>
      <c r="B4" s="555"/>
      <c r="C4" s="555" t="s">
        <v>527</v>
      </c>
      <c r="D4" s="555" t="s">
        <v>528</v>
      </c>
      <c r="E4" s="555" t="s">
        <v>529</v>
      </c>
      <c r="F4" s="555" t="s">
        <v>530</v>
      </c>
      <c r="G4" s="555" t="s">
        <v>531</v>
      </c>
      <c r="H4" s="555" t="s">
        <v>532</v>
      </c>
    </row>
    <row r="5" spans="1:8" ht="13.25" x14ac:dyDescent="0.25">
      <c r="A5" s="1" t="s">
        <v>533</v>
      </c>
      <c r="B5" s="555"/>
      <c r="C5" s="555"/>
      <c r="D5" s="555"/>
      <c r="E5" s="555"/>
      <c r="F5" s="555"/>
      <c r="G5" s="555"/>
      <c r="H5" s="555"/>
    </row>
    <row r="6" spans="1:8" ht="13.25" x14ac:dyDescent="0.25">
      <c r="A6" s="553" t="s">
        <v>534</v>
      </c>
      <c r="B6" s="660" t="s">
        <v>535</v>
      </c>
      <c r="C6" s="660"/>
      <c r="D6" s="660"/>
      <c r="E6" s="554" t="s">
        <v>536</v>
      </c>
      <c r="F6" s="661" t="s">
        <v>537</v>
      </c>
      <c r="G6" s="661"/>
      <c r="H6" s="661"/>
    </row>
    <row r="7" spans="1:8" ht="13.25" x14ac:dyDescent="0.25">
      <c r="A7" s="553" t="s">
        <v>538</v>
      </c>
      <c r="B7" s="553" t="s">
        <v>539</v>
      </c>
      <c r="C7" s="553"/>
      <c r="D7" s="553"/>
      <c r="E7" s="554"/>
      <c r="F7" s="605" t="s">
        <v>540</v>
      </c>
      <c r="G7" s="605"/>
      <c r="H7" s="605"/>
    </row>
    <row r="8" spans="1:8" ht="13.25" x14ac:dyDescent="0.25">
      <c r="A8" s="553" t="s">
        <v>541</v>
      </c>
      <c r="B8" s="660" t="s">
        <v>542</v>
      </c>
      <c r="C8" s="660"/>
      <c r="D8" s="660"/>
      <c r="E8" s="554"/>
      <c r="F8" s="661" t="s">
        <v>543</v>
      </c>
      <c r="G8" s="661"/>
      <c r="H8" s="661"/>
    </row>
    <row r="9" spans="1:8" ht="22.75" x14ac:dyDescent="0.25">
      <c r="A9" s="554" t="s">
        <v>544</v>
      </c>
      <c r="B9" s="661" t="s">
        <v>545</v>
      </c>
      <c r="C9" s="661"/>
      <c r="D9" s="661"/>
      <c r="E9" s="554" t="s">
        <v>546</v>
      </c>
      <c r="F9" s="661" t="s">
        <v>547</v>
      </c>
      <c r="G9" s="661"/>
      <c r="H9" s="661"/>
    </row>
    <row r="10" spans="1:8" ht="13.25" x14ac:dyDescent="0.25">
      <c r="A10" s="156" t="s">
        <v>95</v>
      </c>
      <c r="B10" s="553" t="s">
        <v>548</v>
      </c>
      <c r="C10" s="553"/>
      <c r="D10" s="553"/>
      <c r="E10" s="555" t="s">
        <v>549</v>
      </c>
      <c r="F10" s="555" t="s">
        <v>438</v>
      </c>
      <c r="G10" s="555"/>
      <c r="H10" s="555"/>
    </row>
    <row r="11" spans="1:8" ht="13.25" x14ac:dyDescent="0.25">
      <c r="A11" s="554" t="s">
        <v>464</v>
      </c>
      <c r="B11" s="555" t="s">
        <v>550</v>
      </c>
      <c r="C11" s="555"/>
      <c r="D11" s="555"/>
      <c r="E11" s="555"/>
      <c r="F11" s="554"/>
      <c r="G11" s="554"/>
      <c r="H11" s="554"/>
    </row>
    <row r="12" spans="1:8" ht="13.25" x14ac:dyDescent="0.25">
      <c r="A12" s="554"/>
      <c r="B12" s="663" t="s">
        <v>551</v>
      </c>
      <c r="C12" s="663"/>
      <c r="D12" s="663"/>
      <c r="E12" s="555"/>
      <c r="F12" s="555"/>
      <c r="G12" s="554"/>
      <c r="H12" s="554"/>
    </row>
    <row r="13" spans="1:8" ht="13.25" x14ac:dyDescent="0.25">
      <c r="A13" s="124"/>
      <c r="B13" s="124"/>
      <c r="C13" s="124"/>
      <c r="D13" s="124"/>
      <c r="E13" s="124"/>
      <c r="F13" s="124"/>
      <c r="G13" s="124"/>
      <c r="H13" s="124"/>
    </row>
    <row r="14" spans="1:8" ht="13.25" x14ac:dyDescent="0.25">
      <c r="A14" s="124"/>
      <c r="B14" s="124"/>
      <c r="C14" s="124"/>
      <c r="D14" s="124"/>
      <c r="E14" s="124"/>
      <c r="F14" s="124"/>
      <c r="G14" s="124"/>
      <c r="H14" s="124"/>
    </row>
    <row r="15" spans="1:8" ht="34.25" x14ac:dyDescent="0.25">
      <c r="A15" s="514"/>
      <c r="B15" s="157"/>
      <c r="C15" s="536" t="s">
        <v>552</v>
      </c>
      <c r="D15" s="537" t="s">
        <v>553</v>
      </c>
      <c r="E15" s="537" t="s">
        <v>431</v>
      </c>
      <c r="F15" s="537" t="s">
        <v>554</v>
      </c>
      <c r="G15" s="537" t="s">
        <v>555</v>
      </c>
      <c r="H15" s="538" t="s">
        <v>522</v>
      </c>
    </row>
    <row r="16" spans="1:8" ht="13.25" x14ac:dyDescent="0.25">
      <c r="A16" s="263"/>
      <c r="B16" s="64"/>
      <c r="C16" s="539" t="s">
        <v>39</v>
      </c>
      <c r="D16" s="540" t="s">
        <v>40</v>
      </c>
      <c r="E16" s="540" t="s">
        <v>41</v>
      </c>
      <c r="F16" s="540" t="s">
        <v>42</v>
      </c>
      <c r="G16" s="540" t="s">
        <v>43</v>
      </c>
      <c r="H16" s="541" t="s">
        <v>44</v>
      </c>
    </row>
    <row r="17" spans="1:8" ht="13.25" x14ac:dyDescent="0.25">
      <c r="A17" s="60" t="s">
        <v>53</v>
      </c>
      <c r="B17" s="64"/>
      <c r="C17" s="62"/>
      <c r="D17" s="13"/>
      <c r="E17" s="13"/>
      <c r="F17" s="13"/>
      <c r="G17" s="13"/>
      <c r="H17" s="64"/>
    </row>
    <row r="18" spans="1:8" ht="13.25" x14ac:dyDescent="0.25">
      <c r="A18" s="193" t="s">
        <v>309</v>
      </c>
      <c r="B18" s="131"/>
      <c r="C18" s="158" t="s">
        <v>95</v>
      </c>
      <c r="D18" s="159" t="s">
        <v>560</v>
      </c>
      <c r="E18" s="159" t="s">
        <v>534</v>
      </c>
      <c r="F18" s="159" t="s">
        <v>534</v>
      </c>
      <c r="G18" s="159" t="s">
        <v>544</v>
      </c>
      <c r="H18" s="160" t="s">
        <v>95</v>
      </c>
    </row>
    <row r="19" spans="1:8" ht="13.25" x14ac:dyDescent="0.25">
      <c r="A19" s="193" t="s">
        <v>54</v>
      </c>
      <c r="B19" s="131"/>
      <c r="C19" s="158" t="s">
        <v>464</v>
      </c>
      <c r="D19" s="159" t="s">
        <v>464</v>
      </c>
      <c r="E19" s="159" t="s">
        <v>544</v>
      </c>
      <c r="F19" s="159" t="s">
        <v>549</v>
      </c>
      <c r="G19" s="159" t="s">
        <v>544</v>
      </c>
      <c r="H19" s="160" t="s">
        <v>544</v>
      </c>
    </row>
    <row r="20" spans="1:8" ht="13.25" x14ac:dyDescent="0.25">
      <c r="A20" s="193" t="s">
        <v>240</v>
      </c>
      <c r="B20" s="131"/>
      <c r="C20" s="158" t="s">
        <v>560</v>
      </c>
      <c r="D20" s="159" t="s">
        <v>95</v>
      </c>
      <c r="E20" s="159" t="s">
        <v>544</v>
      </c>
      <c r="F20" s="159" t="s">
        <v>544</v>
      </c>
      <c r="G20" s="159" t="s">
        <v>95</v>
      </c>
      <c r="H20" s="160" t="s">
        <v>544</v>
      </c>
    </row>
    <row r="21" spans="1:8" x14ac:dyDescent="0.25">
      <c r="A21" s="193" t="s">
        <v>310</v>
      </c>
      <c r="B21" s="131"/>
      <c r="C21" s="158" t="s">
        <v>534</v>
      </c>
      <c r="D21" s="159" t="s">
        <v>95</v>
      </c>
      <c r="E21" s="159" t="s">
        <v>544</v>
      </c>
      <c r="F21" s="159" t="s">
        <v>544</v>
      </c>
      <c r="G21" s="159" t="s">
        <v>95</v>
      </c>
      <c r="H21" s="160" t="s">
        <v>544</v>
      </c>
    </row>
    <row r="22" spans="1:8" x14ac:dyDescent="0.25">
      <c r="A22" s="193" t="s">
        <v>56</v>
      </c>
      <c r="B22" s="131"/>
      <c r="C22" s="671" t="s">
        <v>1447</v>
      </c>
      <c r="D22" s="159"/>
      <c r="E22" s="159"/>
      <c r="F22" s="159"/>
      <c r="G22" s="159"/>
      <c r="H22" s="160"/>
    </row>
    <row r="23" spans="1:8" x14ac:dyDescent="0.25">
      <c r="A23" s="193" t="s">
        <v>57</v>
      </c>
      <c r="B23" s="131"/>
      <c r="C23" s="158" t="s">
        <v>544</v>
      </c>
      <c r="D23" s="159" t="s">
        <v>95</v>
      </c>
      <c r="E23" s="159" t="s">
        <v>544</v>
      </c>
      <c r="F23" s="159" t="s">
        <v>95</v>
      </c>
      <c r="G23" s="159" t="s">
        <v>544</v>
      </c>
      <c r="H23" s="160" t="s">
        <v>544</v>
      </c>
    </row>
    <row r="24" spans="1:8" x14ac:dyDescent="0.25">
      <c r="A24" s="193" t="s">
        <v>58</v>
      </c>
      <c r="B24" s="131"/>
      <c r="C24" s="158" t="s">
        <v>561</v>
      </c>
      <c r="D24" s="159" t="s">
        <v>95</v>
      </c>
      <c r="E24" s="159" t="s">
        <v>544</v>
      </c>
      <c r="F24" s="159" t="s">
        <v>544</v>
      </c>
      <c r="G24" s="159" t="s">
        <v>544</v>
      </c>
      <c r="H24" s="160" t="s">
        <v>561</v>
      </c>
    </row>
    <row r="25" spans="1:8" x14ac:dyDescent="0.25">
      <c r="A25" s="193" t="s">
        <v>59</v>
      </c>
      <c r="B25" s="131"/>
      <c r="C25" s="158" t="s">
        <v>534</v>
      </c>
      <c r="D25" s="159" t="s">
        <v>544</v>
      </c>
      <c r="E25" s="159" t="s">
        <v>544</v>
      </c>
      <c r="F25" s="159" t="s">
        <v>544</v>
      </c>
      <c r="G25" s="159" t="s">
        <v>544</v>
      </c>
      <c r="H25" s="160" t="s">
        <v>544</v>
      </c>
    </row>
    <row r="26" spans="1:8" ht="34.5" x14ac:dyDescent="0.25">
      <c r="A26" s="193" t="s">
        <v>60</v>
      </c>
      <c r="B26" s="131"/>
      <c r="C26" s="158" t="s">
        <v>562</v>
      </c>
      <c r="D26" s="159" t="s">
        <v>562</v>
      </c>
      <c r="E26" s="159" t="s">
        <v>544</v>
      </c>
      <c r="F26" s="159" t="s">
        <v>544</v>
      </c>
      <c r="G26" s="159" t="s">
        <v>544</v>
      </c>
      <c r="H26" s="160" t="s">
        <v>544</v>
      </c>
    </row>
    <row r="27" spans="1:8" ht="13.5" x14ac:dyDescent="0.25">
      <c r="A27" s="193" t="s">
        <v>556</v>
      </c>
      <c r="B27" s="131"/>
      <c r="C27" s="158" t="s">
        <v>563</v>
      </c>
      <c r="D27" s="159" t="s">
        <v>564</v>
      </c>
      <c r="E27" s="159" t="s">
        <v>567</v>
      </c>
      <c r="F27" s="159" t="s">
        <v>567</v>
      </c>
      <c r="G27" s="159" t="s">
        <v>567</v>
      </c>
      <c r="H27" s="160" t="s">
        <v>544</v>
      </c>
    </row>
    <row r="28" spans="1:8" x14ac:dyDescent="0.25">
      <c r="A28" s="193" t="s">
        <v>62</v>
      </c>
      <c r="B28" s="131"/>
      <c r="C28" s="158" t="s">
        <v>464</v>
      </c>
      <c r="D28" s="159" t="s">
        <v>544</v>
      </c>
      <c r="E28" s="159" t="s">
        <v>549</v>
      </c>
      <c r="F28" s="159" t="s">
        <v>544</v>
      </c>
      <c r="G28" s="159" t="s">
        <v>544</v>
      </c>
      <c r="H28" s="160" t="s">
        <v>544</v>
      </c>
    </row>
    <row r="29" spans="1:8" x14ac:dyDescent="0.25">
      <c r="A29" s="193" t="s">
        <v>63</v>
      </c>
      <c r="B29" s="131"/>
      <c r="C29" s="158" t="s">
        <v>736</v>
      </c>
      <c r="D29" s="159" t="s">
        <v>736</v>
      </c>
      <c r="E29" s="159" t="s">
        <v>544</v>
      </c>
      <c r="F29" s="159" t="s">
        <v>544</v>
      </c>
      <c r="G29" s="159" t="s">
        <v>544</v>
      </c>
      <c r="H29" s="160" t="s">
        <v>544</v>
      </c>
    </row>
    <row r="30" spans="1:8" x14ac:dyDescent="0.25">
      <c r="A30" s="193" t="s">
        <v>64</v>
      </c>
      <c r="B30" s="131"/>
      <c r="C30" s="158" t="s">
        <v>561</v>
      </c>
      <c r="D30" s="159" t="s">
        <v>95</v>
      </c>
      <c r="E30" s="159" t="s">
        <v>549</v>
      </c>
      <c r="F30" s="159" t="s">
        <v>544</v>
      </c>
      <c r="G30" s="159" t="s">
        <v>544</v>
      </c>
      <c r="H30" s="160" t="s">
        <v>544</v>
      </c>
    </row>
    <row r="31" spans="1:8" x14ac:dyDescent="0.25">
      <c r="A31" s="193" t="s">
        <v>65</v>
      </c>
      <c r="B31" s="131"/>
      <c r="C31" s="158" t="s">
        <v>565</v>
      </c>
      <c r="D31" s="159" t="s">
        <v>95</v>
      </c>
      <c r="E31" s="159" t="s">
        <v>544</v>
      </c>
      <c r="F31" s="159" t="s">
        <v>565</v>
      </c>
      <c r="G31" s="159" t="s">
        <v>544</v>
      </c>
      <c r="H31" s="160" t="s">
        <v>565</v>
      </c>
    </row>
    <row r="32" spans="1:8" x14ac:dyDescent="0.25">
      <c r="A32" s="193" t="s">
        <v>66</v>
      </c>
      <c r="B32" s="131"/>
      <c r="C32" s="158" t="s">
        <v>566</v>
      </c>
      <c r="D32" s="159" t="s">
        <v>544</v>
      </c>
      <c r="E32" s="159" t="s">
        <v>544</v>
      </c>
      <c r="F32" s="159" t="s">
        <v>534</v>
      </c>
      <c r="G32" s="159" t="s">
        <v>544</v>
      </c>
      <c r="H32" s="160" t="s">
        <v>544</v>
      </c>
    </row>
    <row r="33" spans="1:8" x14ac:dyDescent="0.25">
      <c r="A33" s="193" t="s">
        <v>67</v>
      </c>
      <c r="B33" s="131"/>
      <c r="C33" s="158" t="s">
        <v>561</v>
      </c>
      <c r="D33" s="159" t="s">
        <v>95</v>
      </c>
      <c r="E33" s="159" t="s">
        <v>544</v>
      </c>
      <c r="F33" s="159" t="s">
        <v>544</v>
      </c>
      <c r="G33" s="159" t="s">
        <v>544</v>
      </c>
      <c r="H33" s="160" t="s">
        <v>567</v>
      </c>
    </row>
    <row r="34" spans="1:8" x14ac:dyDescent="0.25">
      <c r="A34" s="193" t="s">
        <v>68</v>
      </c>
      <c r="B34" s="131"/>
      <c r="C34" s="158" t="s">
        <v>565</v>
      </c>
      <c r="D34" s="159" t="s">
        <v>95</v>
      </c>
      <c r="E34" s="159" t="s">
        <v>544</v>
      </c>
      <c r="F34" s="159" t="s">
        <v>544</v>
      </c>
      <c r="G34" s="159" t="s">
        <v>95</v>
      </c>
      <c r="H34" s="160" t="s">
        <v>544</v>
      </c>
    </row>
    <row r="35" spans="1:8" x14ac:dyDescent="0.25">
      <c r="A35" s="193" t="s">
        <v>69</v>
      </c>
      <c r="B35" s="131"/>
      <c r="C35" s="158" t="s">
        <v>544</v>
      </c>
      <c r="D35" s="159" t="s">
        <v>95</v>
      </c>
      <c r="E35" s="159" t="s">
        <v>544</v>
      </c>
      <c r="F35" s="159" t="s">
        <v>544</v>
      </c>
      <c r="G35" s="159" t="s">
        <v>544</v>
      </c>
      <c r="H35" s="160" t="s">
        <v>544</v>
      </c>
    </row>
    <row r="36" spans="1:8" x14ac:dyDescent="0.25">
      <c r="A36" s="193" t="s">
        <v>70</v>
      </c>
      <c r="B36" s="131"/>
      <c r="C36" s="671" t="s">
        <v>1447</v>
      </c>
      <c r="D36" s="159"/>
      <c r="E36" s="159"/>
      <c r="F36" s="159"/>
      <c r="G36" s="159"/>
      <c r="H36" s="160"/>
    </row>
    <row r="37" spans="1:8" x14ac:dyDescent="0.25">
      <c r="A37" s="33" t="s">
        <v>85</v>
      </c>
      <c r="B37" s="131"/>
      <c r="C37" s="158" t="s">
        <v>544</v>
      </c>
      <c r="D37" s="159" t="s">
        <v>95</v>
      </c>
      <c r="E37" s="159" t="s">
        <v>544</v>
      </c>
      <c r="F37" s="159" t="s">
        <v>544</v>
      </c>
      <c r="G37" s="159" t="s">
        <v>544</v>
      </c>
      <c r="H37" s="160" t="s">
        <v>544</v>
      </c>
    </row>
    <row r="38" spans="1:8" x14ac:dyDescent="0.25">
      <c r="A38" s="33" t="s">
        <v>86</v>
      </c>
      <c r="B38" s="34"/>
      <c r="C38" s="158" t="s">
        <v>544</v>
      </c>
      <c r="D38" s="159" t="s">
        <v>95</v>
      </c>
      <c r="E38" s="159" t="s">
        <v>544</v>
      </c>
      <c r="F38" s="159" t="s">
        <v>544</v>
      </c>
      <c r="G38" s="159" t="s">
        <v>544</v>
      </c>
      <c r="H38" s="160" t="s">
        <v>544</v>
      </c>
    </row>
    <row r="39" spans="1:8" ht="23" x14ac:dyDescent="0.25">
      <c r="A39" s="193" t="s">
        <v>557</v>
      </c>
      <c r="B39" s="131"/>
      <c r="C39" s="158" t="s">
        <v>563</v>
      </c>
      <c r="D39" s="159" t="s">
        <v>95</v>
      </c>
      <c r="E39" s="159" t="s">
        <v>544</v>
      </c>
      <c r="F39" s="159" t="s">
        <v>549</v>
      </c>
      <c r="G39" s="159" t="s">
        <v>544</v>
      </c>
      <c r="H39" s="160" t="s">
        <v>568</v>
      </c>
    </row>
    <row r="40" spans="1:8" x14ac:dyDescent="0.25">
      <c r="A40" s="193" t="s">
        <v>72</v>
      </c>
      <c r="B40" s="131"/>
      <c r="C40" s="158" t="s">
        <v>565</v>
      </c>
      <c r="D40" s="159" t="s">
        <v>95</v>
      </c>
      <c r="E40" s="159" t="s">
        <v>544</v>
      </c>
      <c r="F40" s="159" t="s">
        <v>544</v>
      </c>
      <c r="G40" s="159" t="s">
        <v>544</v>
      </c>
      <c r="H40" s="160" t="s">
        <v>464</v>
      </c>
    </row>
    <row r="41" spans="1:8" x14ac:dyDescent="0.25">
      <c r="A41" s="193" t="s">
        <v>187</v>
      </c>
      <c r="B41" s="131"/>
      <c r="C41" s="671" t="s">
        <v>1447</v>
      </c>
      <c r="D41" s="159"/>
      <c r="E41" s="159"/>
      <c r="F41" s="159"/>
      <c r="G41" s="159"/>
      <c r="H41" s="160"/>
    </row>
    <row r="42" spans="1:8" ht="13.5" x14ac:dyDescent="0.25">
      <c r="A42" s="193" t="s">
        <v>1425</v>
      </c>
      <c r="B42" s="131"/>
      <c r="C42" s="158" t="s">
        <v>534</v>
      </c>
      <c r="D42" s="159" t="s">
        <v>95</v>
      </c>
      <c r="E42" s="159" t="s">
        <v>544</v>
      </c>
      <c r="F42" s="159" t="s">
        <v>538</v>
      </c>
      <c r="G42" s="159" t="s">
        <v>544</v>
      </c>
      <c r="H42" s="160" t="s">
        <v>544</v>
      </c>
    </row>
    <row r="43" spans="1:8" x14ac:dyDescent="0.25">
      <c r="A43" s="193" t="s">
        <v>244</v>
      </c>
      <c r="B43" s="131"/>
      <c r="C43" s="158" t="s">
        <v>1381</v>
      </c>
      <c r="D43" s="159" t="s">
        <v>95</v>
      </c>
      <c r="E43" s="159" t="s">
        <v>544</v>
      </c>
      <c r="F43" s="159" t="s">
        <v>544</v>
      </c>
      <c r="G43" s="159" t="s">
        <v>544</v>
      </c>
      <c r="H43" s="160" t="s">
        <v>544</v>
      </c>
    </row>
    <row r="44" spans="1:8" x14ac:dyDescent="0.25">
      <c r="A44" s="193" t="s">
        <v>74</v>
      </c>
      <c r="B44" s="131"/>
      <c r="C44" s="158" t="s">
        <v>544</v>
      </c>
      <c r="D44" s="159" t="s">
        <v>544</v>
      </c>
      <c r="E44" s="159" t="s">
        <v>544</v>
      </c>
      <c r="F44" s="159" t="s">
        <v>95</v>
      </c>
      <c r="G44" s="159" t="s">
        <v>95</v>
      </c>
      <c r="H44" s="160" t="s">
        <v>544</v>
      </c>
    </row>
    <row r="45" spans="1:8" x14ac:dyDescent="0.25">
      <c r="A45" s="193" t="s">
        <v>75</v>
      </c>
      <c r="B45" s="131"/>
      <c r="C45" s="158" t="s">
        <v>544</v>
      </c>
      <c r="D45" s="159" t="s">
        <v>95</v>
      </c>
      <c r="E45" s="159" t="s">
        <v>569</v>
      </c>
      <c r="F45" s="159" t="s">
        <v>544</v>
      </c>
      <c r="G45" s="159" t="s">
        <v>544</v>
      </c>
      <c r="H45" s="160" t="s">
        <v>544</v>
      </c>
    </row>
    <row r="46" spans="1:8" x14ac:dyDescent="0.25">
      <c r="A46" s="193" t="s">
        <v>76</v>
      </c>
      <c r="B46" s="131"/>
      <c r="C46" s="158" t="s">
        <v>534</v>
      </c>
      <c r="D46" s="159" t="s">
        <v>95</v>
      </c>
      <c r="E46" s="159" t="s">
        <v>544</v>
      </c>
      <c r="F46" s="159" t="s">
        <v>544</v>
      </c>
      <c r="G46" s="159" t="s">
        <v>544</v>
      </c>
      <c r="H46" s="160" t="s">
        <v>544</v>
      </c>
    </row>
    <row r="47" spans="1:8" ht="34.5" x14ac:dyDescent="0.25">
      <c r="A47" s="193" t="s">
        <v>558</v>
      </c>
      <c r="B47" s="131"/>
      <c r="C47" s="158" t="s">
        <v>563</v>
      </c>
      <c r="D47" s="159" t="s">
        <v>1212</v>
      </c>
      <c r="E47" s="159" t="s">
        <v>544</v>
      </c>
      <c r="F47" s="159" t="s">
        <v>95</v>
      </c>
      <c r="G47" s="159" t="s">
        <v>95</v>
      </c>
      <c r="H47" s="160" t="s">
        <v>123</v>
      </c>
    </row>
    <row r="48" spans="1:8" x14ac:dyDescent="0.25">
      <c r="A48" s="193" t="s">
        <v>78</v>
      </c>
      <c r="B48" s="131"/>
      <c r="C48" s="158" t="s">
        <v>565</v>
      </c>
      <c r="D48" s="159" t="s">
        <v>565</v>
      </c>
      <c r="E48" s="159" t="s">
        <v>544</v>
      </c>
      <c r="F48" s="159" t="s">
        <v>544</v>
      </c>
      <c r="G48" s="159" t="s">
        <v>544</v>
      </c>
      <c r="H48" s="160" t="s">
        <v>544</v>
      </c>
    </row>
    <row r="49" spans="1:8" x14ac:dyDescent="0.25">
      <c r="A49" s="193" t="s">
        <v>79</v>
      </c>
      <c r="B49" s="131"/>
      <c r="C49" s="158" t="s">
        <v>563</v>
      </c>
      <c r="D49" s="159" t="s">
        <v>95</v>
      </c>
      <c r="E49" s="159" t="s">
        <v>534</v>
      </c>
      <c r="F49" s="159" t="s">
        <v>95</v>
      </c>
      <c r="G49" s="159" t="s">
        <v>95</v>
      </c>
      <c r="H49" s="160" t="s">
        <v>544</v>
      </c>
    </row>
    <row r="50" spans="1:8" ht="13.5" x14ac:dyDescent="0.25">
      <c r="A50" s="193" t="s">
        <v>559</v>
      </c>
      <c r="B50" s="131"/>
      <c r="C50" s="158" t="s">
        <v>570</v>
      </c>
      <c r="D50" s="159" t="s">
        <v>95</v>
      </c>
      <c r="E50" s="159" t="s">
        <v>95</v>
      </c>
      <c r="F50" s="159" t="s">
        <v>95</v>
      </c>
      <c r="G50" s="159" t="s">
        <v>95</v>
      </c>
      <c r="H50" s="160" t="s">
        <v>95</v>
      </c>
    </row>
    <row r="51" spans="1:8" x14ac:dyDescent="0.25">
      <c r="A51" s="193" t="s">
        <v>81</v>
      </c>
      <c r="B51" s="131"/>
      <c r="C51" s="158" t="s">
        <v>560</v>
      </c>
      <c r="D51" s="159" t="s">
        <v>544</v>
      </c>
      <c r="E51" s="159" t="s">
        <v>544</v>
      </c>
      <c r="F51" s="159" t="s">
        <v>95</v>
      </c>
      <c r="G51" s="159" t="s">
        <v>544</v>
      </c>
      <c r="H51" s="160" t="s">
        <v>544</v>
      </c>
    </row>
    <row r="52" spans="1:8" x14ac:dyDescent="0.25">
      <c r="A52" s="193" t="s">
        <v>316</v>
      </c>
      <c r="B52" s="131"/>
      <c r="C52" s="158" t="s">
        <v>534</v>
      </c>
      <c r="D52" s="159" t="s">
        <v>95</v>
      </c>
      <c r="E52" s="159" t="s">
        <v>569</v>
      </c>
      <c r="F52" s="159" t="s">
        <v>569</v>
      </c>
      <c r="G52" s="159" t="s">
        <v>95</v>
      </c>
      <c r="H52" s="160" t="s">
        <v>544</v>
      </c>
    </row>
    <row r="53" spans="1:8" x14ac:dyDescent="0.25">
      <c r="A53" s="254" t="s">
        <v>82</v>
      </c>
      <c r="B53" s="510"/>
      <c r="C53" s="68"/>
      <c r="D53" s="511"/>
      <c r="E53" s="512"/>
      <c r="F53" s="512"/>
      <c r="G53" s="512"/>
      <c r="H53" s="513"/>
    </row>
    <row r="54" spans="1:8" x14ac:dyDescent="0.25">
      <c r="A54" s="33" t="s">
        <v>83</v>
      </c>
      <c r="B54" s="131"/>
      <c r="C54" s="158" t="s">
        <v>544</v>
      </c>
      <c r="D54" s="159" t="s">
        <v>95</v>
      </c>
      <c r="E54" s="159" t="s">
        <v>544</v>
      </c>
      <c r="F54" s="159" t="s">
        <v>544</v>
      </c>
      <c r="G54" s="159" t="s">
        <v>95</v>
      </c>
      <c r="H54" s="160" t="s">
        <v>544</v>
      </c>
    </row>
    <row r="55" spans="1:8" ht="34.5" x14ac:dyDescent="0.25">
      <c r="A55" s="33" t="s">
        <v>84</v>
      </c>
      <c r="B55" s="131"/>
      <c r="C55" s="158" t="s">
        <v>544</v>
      </c>
      <c r="D55" s="159" t="s">
        <v>95</v>
      </c>
      <c r="E55" s="159" t="s">
        <v>624</v>
      </c>
      <c r="F55" s="159" t="s">
        <v>544</v>
      </c>
      <c r="G55" s="159" t="s">
        <v>544</v>
      </c>
      <c r="H55" s="160" t="s">
        <v>544</v>
      </c>
    </row>
    <row r="56" spans="1:8" x14ac:dyDescent="0.25">
      <c r="A56" s="33" t="s">
        <v>585</v>
      </c>
      <c r="B56" s="131"/>
      <c r="C56" s="158" t="s">
        <v>544</v>
      </c>
      <c r="D56" s="159" t="s">
        <v>95</v>
      </c>
      <c r="E56" s="159" t="s">
        <v>544</v>
      </c>
      <c r="F56" s="159" t="s">
        <v>544</v>
      </c>
      <c r="G56" s="159" t="s">
        <v>544</v>
      </c>
      <c r="H56" s="160" t="s">
        <v>544</v>
      </c>
    </row>
    <row r="57" spans="1:8" x14ac:dyDescent="0.25">
      <c r="A57" s="33" t="s">
        <v>192</v>
      </c>
      <c r="B57" s="34"/>
      <c r="C57" s="158" t="s">
        <v>534</v>
      </c>
      <c r="D57" s="159" t="s">
        <v>544</v>
      </c>
      <c r="E57" s="159" t="s">
        <v>544</v>
      </c>
      <c r="F57" s="159" t="s">
        <v>544</v>
      </c>
      <c r="G57" s="159" t="s">
        <v>544</v>
      </c>
      <c r="H57" s="160" t="s">
        <v>534</v>
      </c>
    </row>
    <row r="58" spans="1:8" x14ac:dyDescent="0.25">
      <c r="A58" s="62" t="s">
        <v>87</v>
      </c>
      <c r="B58" s="64"/>
      <c r="C58" s="507" t="s">
        <v>544</v>
      </c>
      <c r="D58" s="508" t="s">
        <v>95</v>
      </c>
      <c r="E58" s="508" t="s">
        <v>544</v>
      </c>
      <c r="F58" s="508" t="s">
        <v>544</v>
      </c>
      <c r="G58" s="508" t="s">
        <v>95</v>
      </c>
      <c r="H58" s="509" t="s">
        <v>544</v>
      </c>
    </row>
    <row r="59" spans="1:8" x14ac:dyDescent="0.25">
      <c r="A59" s="124"/>
      <c r="B59" s="124"/>
      <c r="C59" s="124"/>
      <c r="D59" s="124"/>
      <c r="E59" s="124"/>
      <c r="F59" s="124"/>
      <c r="G59" s="124"/>
      <c r="H59" s="124"/>
    </row>
    <row r="60" spans="1:8" ht="13" x14ac:dyDescent="0.3">
      <c r="A60" s="30" t="s">
        <v>88</v>
      </c>
      <c r="B60" s="29"/>
      <c r="C60" s="161"/>
      <c r="D60" s="162"/>
      <c r="E60" s="161"/>
      <c r="F60" s="161"/>
      <c r="G60" s="162"/>
      <c r="H60" s="161"/>
    </row>
    <row r="61" spans="1:8" x14ac:dyDescent="0.25">
      <c r="A61" s="555" t="s">
        <v>571</v>
      </c>
      <c r="B61" s="555"/>
      <c r="C61" s="555"/>
      <c r="D61" s="555"/>
      <c r="E61" s="555"/>
      <c r="F61" s="555"/>
      <c r="G61" s="555"/>
      <c r="H61" s="555"/>
    </row>
    <row r="62" spans="1:8" x14ac:dyDescent="0.25">
      <c r="A62" s="664" t="s">
        <v>572</v>
      </c>
      <c r="B62" s="664"/>
      <c r="C62" s="664"/>
      <c r="D62" s="664"/>
      <c r="E62" s="664"/>
      <c r="F62" s="664"/>
      <c r="G62" s="664"/>
      <c r="H62" s="664"/>
    </row>
    <row r="63" spans="1:8" x14ac:dyDescent="0.25">
      <c r="A63" s="664" t="s">
        <v>573</v>
      </c>
      <c r="B63" s="664"/>
      <c r="C63" s="664"/>
      <c r="D63" s="664"/>
      <c r="E63" s="664"/>
      <c r="F63" s="664"/>
      <c r="G63" s="664"/>
      <c r="H63" s="664"/>
    </row>
    <row r="64" spans="1:8" x14ac:dyDescent="0.25">
      <c r="A64" s="662" t="s">
        <v>574</v>
      </c>
      <c r="B64" s="662"/>
      <c r="C64" s="662"/>
      <c r="D64" s="662"/>
      <c r="E64" s="662"/>
      <c r="F64" s="662"/>
      <c r="G64" s="662"/>
      <c r="H64" s="662"/>
    </row>
    <row r="65" spans="1:8" x14ac:dyDescent="0.25">
      <c r="A65" s="662" t="s">
        <v>575</v>
      </c>
      <c r="B65" s="662"/>
      <c r="C65" s="662"/>
      <c r="D65" s="662"/>
      <c r="E65" s="662"/>
      <c r="F65" s="662"/>
      <c r="G65" s="662"/>
      <c r="H65" s="662"/>
    </row>
    <row r="66" spans="1:8" x14ac:dyDescent="0.25">
      <c r="A66" s="662" t="s">
        <v>576</v>
      </c>
      <c r="B66" s="662"/>
      <c r="C66" s="662"/>
      <c r="D66" s="662"/>
      <c r="E66" s="662"/>
      <c r="F66" s="662"/>
      <c r="G66" s="662"/>
      <c r="H66" s="662"/>
    </row>
    <row r="67" spans="1:8" x14ac:dyDescent="0.25">
      <c r="A67" s="130"/>
      <c r="B67" s="556"/>
      <c r="C67" s="556"/>
      <c r="D67" s="556"/>
      <c r="E67" s="556"/>
      <c r="F67" s="556"/>
      <c r="G67" s="556"/>
      <c r="H67" s="556"/>
    </row>
    <row r="68" spans="1:8" ht="13" x14ac:dyDescent="0.3">
      <c r="A68" s="1" t="s">
        <v>91</v>
      </c>
      <c r="B68" s="555"/>
      <c r="C68" s="153" t="s">
        <v>6</v>
      </c>
      <c r="D68" s="555"/>
      <c r="E68" s="555"/>
      <c r="F68" s="555"/>
      <c r="G68" s="555"/>
      <c r="H68" s="555"/>
    </row>
  </sheetData>
  <mergeCells count="15">
    <mergeCell ref="A65:H65"/>
    <mergeCell ref="A66:H66"/>
    <mergeCell ref="B9:D9"/>
    <mergeCell ref="F9:H9"/>
    <mergeCell ref="B12:D12"/>
    <mergeCell ref="A62:H62"/>
    <mergeCell ref="A63:H63"/>
    <mergeCell ref="A64:H64"/>
    <mergeCell ref="B8:D8"/>
    <mergeCell ref="F8:H8"/>
    <mergeCell ref="A1:H1"/>
    <mergeCell ref="A2:H2"/>
    <mergeCell ref="B6:D6"/>
    <mergeCell ref="F6:H6"/>
    <mergeCell ref="F7:H7"/>
  </mergeCells>
  <hyperlinks>
    <hyperlink ref="C68" r:id="rId1"/>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H47"/>
  <sheetViews>
    <sheetView zoomScale="60" zoomScaleNormal="60" workbookViewId="0">
      <selection activeCell="M34" sqref="M34"/>
    </sheetView>
  </sheetViews>
  <sheetFormatPr defaultRowHeight="12.5" x14ac:dyDescent="0.25"/>
  <cols>
    <col min="1" max="1" width="20" bestFit="1" customWidth="1"/>
    <col min="2" max="2" width="19.81640625" customWidth="1"/>
  </cols>
  <sheetData>
    <row r="1" spans="1:8" ht="17.399999999999999" x14ac:dyDescent="0.3">
      <c r="A1" s="665" t="s">
        <v>582</v>
      </c>
      <c r="B1" s="666"/>
      <c r="C1" s="187"/>
      <c r="D1" s="187"/>
      <c r="E1" s="187"/>
      <c r="F1" s="187"/>
      <c r="G1" s="187"/>
      <c r="H1" s="187"/>
    </row>
    <row r="2" spans="1:8" ht="17.399999999999999" x14ac:dyDescent="0.3">
      <c r="A2" s="667">
        <v>2020</v>
      </c>
      <c r="B2" s="668"/>
      <c r="C2" s="187"/>
      <c r="D2" s="187"/>
      <c r="E2" s="187"/>
      <c r="F2" s="187"/>
      <c r="G2" s="187"/>
      <c r="H2" s="187"/>
    </row>
    <row r="3" spans="1:8" ht="13.25" x14ac:dyDescent="0.25">
      <c r="A3" s="184" t="s">
        <v>53</v>
      </c>
      <c r="B3" s="184" t="s">
        <v>1386</v>
      </c>
    </row>
    <row r="4" spans="1:8" ht="13.25" x14ac:dyDescent="0.25">
      <c r="A4" s="163" t="s">
        <v>309</v>
      </c>
      <c r="B4" s="166">
        <f>VLOOKUP('Average wages'!A4,Sheet2!A$2:B$41,2,FALSE)</f>
        <v>90861</v>
      </c>
    </row>
    <row r="5" spans="1:8" ht="13.25" x14ac:dyDescent="0.25">
      <c r="A5" s="163" t="s">
        <v>54</v>
      </c>
      <c r="B5" s="167">
        <f>VLOOKUP('Average wages'!A5,Sheet2!A$2:B$41,2,FALSE)</f>
        <v>48658.103373473743</v>
      </c>
    </row>
    <row r="6" spans="1:8" ht="13.25" x14ac:dyDescent="0.25">
      <c r="A6" s="163" t="s">
        <v>240</v>
      </c>
      <c r="B6" s="167">
        <f>VLOOKUP('Average wages'!A6,Sheet2!A$2:B$41,2,FALSE)</f>
        <v>47720.332716461729</v>
      </c>
    </row>
    <row r="7" spans="1:8" ht="13.25" x14ac:dyDescent="0.25">
      <c r="A7" s="163" t="s">
        <v>310</v>
      </c>
      <c r="B7" s="183">
        <f>VLOOKUP('Average wages'!A7,Sheet2!A$2:B$41,2,FALSE)</f>
        <v>57291.615823615299</v>
      </c>
    </row>
    <row r="8" spans="1:8" ht="13.25" x14ac:dyDescent="0.25">
      <c r="A8" s="163" t="s">
        <v>56</v>
      </c>
      <c r="B8" s="183">
        <f>VLOOKUP('Average wages'!A8,Sheet2!A$2:B$41,2,FALSE)</f>
        <v>10279535</v>
      </c>
    </row>
    <row r="9" spans="1:8" ht="13.25" x14ac:dyDescent="0.25">
      <c r="A9" s="163" t="s">
        <v>57</v>
      </c>
      <c r="B9" s="168">
        <f>VLOOKUP('Average wages'!A9,Sheet2!A$2:B$41,2,FALSE)</f>
        <v>402261.20732123469</v>
      </c>
    </row>
    <row r="10" spans="1:8" ht="13.25" x14ac:dyDescent="0.25">
      <c r="A10" s="163" t="s">
        <v>58</v>
      </c>
      <c r="B10" s="169">
        <f>VLOOKUP('Average wages'!A10,Sheet2!A$2:B$41,2,FALSE)</f>
        <v>437093.87876620237</v>
      </c>
    </row>
    <row r="11" spans="1:8" ht="13.25" x14ac:dyDescent="0.25">
      <c r="A11" s="163" t="s">
        <v>59</v>
      </c>
      <c r="B11" s="167">
        <f>VLOOKUP('Average wages'!A11,Sheet2!A$2:B$41,2,FALSE)</f>
        <v>16636.73044759758</v>
      </c>
    </row>
    <row r="12" spans="1:8" ht="13.25" x14ac:dyDescent="0.25">
      <c r="A12" s="163" t="s">
        <v>60</v>
      </c>
      <c r="B12" s="167">
        <f>VLOOKUP('Average wages'!A12,Sheet2!A$2:B$41,2,FALSE)</f>
        <v>45718.788867146606</v>
      </c>
    </row>
    <row r="13" spans="1:8" ht="13.25" x14ac:dyDescent="0.25">
      <c r="A13" s="163" t="s">
        <v>61</v>
      </c>
      <c r="B13" s="167">
        <f>VLOOKUP('Average wages'!A13,Sheet2!A$2:B$41,2,FALSE)</f>
        <v>38187.939912298869</v>
      </c>
    </row>
    <row r="14" spans="1:8" ht="13.25" x14ac:dyDescent="0.25">
      <c r="A14" s="163" t="s">
        <v>62</v>
      </c>
      <c r="B14" s="167">
        <f>VLOOKUP('Average wages'!A14,Sheet2!A$2:B$41,2,FALSE)</f>
        <v>52103.835231553465</v>
      </c>
    </row>
    <row r="15" spans="1:8" ht="13.25" x14ac:dyDescent="0.25">
      <c r="A15" s="163" t="s">
        <v>63</v>
      </c>
      <c r="B15" s="167">
        <f>VLOOKUP('Average wages'!A15,Sheet2!A$2:B$41,2,FALSE)</f>
        <v>21139.214692709902</v>
      </c>
    </row>
    <row r="16" spans="1:8" ht="13.25" x14ac:dyDescent="0.25">
      <c r="A16" s="163" t="s">
        <v>64</v>
      </c>
      <c r="B16" s="170">
        <f>VLOOKUP('Average wages'!A16,Sheet2!A$2:B$41,2,FALSE)</f>
        <v>5011589.76554434</v>
      </c>
    </row>
    <row r="17" spans="1:2" ht="13.25" x14ac:dyDescent="0.25">
      <c r="A17" s="163" t="s">
        <v>65</v>
      </c>
      <c r="B17" s="171">
        <f>VLOOKUP('Average wages'!A17,Sheet2!A$2:B$41,2,FALSE)</f>
        <v>9247101.3906362541</v>
      </c>
    </row>
    <row r="18" spans="1:2" ht="13.25" x14ac:dyDescent="0.25">
      <c r="A18" s="163" t="s">
        <v>66</v>
      </c>
      <c r="B18" s="167">
        <f>VLOOKUP('Average wages'!A18,Sheet2!A$2:B$41,2,FALSE)</f>
        <v>46685.057918941704</v>
      </c>
    </row>
    <row r="19" spans="1:2" ht="13.25" x14ac:dyDescent="0.25">
      <c r="A19" s="163" t="s">
        <v>67</v>
      </c>
      <c r="B19" s="172">
        <f>VLOOKUP('Average wages'!A19,Sheet2!A$2:B$41,2,FALSE)</f>
        <v>157092.64219875442</v>
      </c>
    </row>
    <row r="20" spans="1:2" ht="13.25" x14ac:dyDescent="0.25">
      <c r="A20" s="163" t="s">
        <v>68</v>
      </c>
      <c r="B20" s="167">
        <f>VLOOKUP('Average wages'!A20,Sheet2!A$2:B$41,2,FALSE)</f>
        <v>30232.942350027566</v>
      </c>
    </row>
    <row r="21" spans="1:2" ht="13.25" x14ac:dyDescent="0.25">
      <c r="A21" s="163" t="s">
        <v>69</v>
      </c>
      <c r="B21" s="173">
        <f>VLOOKUP('Average wages'!A21,Sheet2!A$2:B$41,2,FALSE)</f>
        <v>5185180.8843894061</v>
      </c>
    </row>
    <row r="22" spans="1:2" ht="13.25" x14ac:dyDescent="0.25">
      <c r="A22" s="163" t="s">
        <v>70</v>
      </c>
      <c r="B22" s="174">
        <f>VLOOKUP('Average wages'!A22,Sheet2!A$2:B$41,2,FALSE)</f>
        <v>46020316.112404078</v>
      </c>
    </row>
    <row r="23" spans="1:2" ht="13.25" x14ac:dyDescent="0.25">
      <c r="A23" s="164" t="s">
        <v>85</v>
      </c>
      <c r="B23" s="167">
        <f>VLOOKUP('Average wages'!A23,Sheet2!A$2:B$41,2,FALSE)</f>
        <v>12912.652792147241</v>
      </c>
    </row>
    <row r="24" spans="1:2" ht="13.25" x14ac:dyDescent="0.25">
      <c r="A24" s="164" t="s">
        <v>86</v>
      </c>
      <c r="B24" s="167">
        <f>VLOOKUP('Average wages'!A24,Sheet2!A$2:B$41,2,FALSE)</f>
        <v>16425.518309918611</v>
      </c>
    </row>
    <row r="25" spans="1:2" ht="13.25" x14ac:dyDescent="0.25">
      <c r="A25" s="163" t="s">
        <v>71</v>
      </c>
      <c r="B25" s="167">
        <f>VLOOKUP('Average wages'!A25,Sheet2!A$2:B$41,2,FALSE)</f>
        <v>58039.910713162288</v>
      </c>
    </row>
    <row r="26" spans="1:2" x14ac:dyDescent="0.25">
      <c r="A26" s="163" t="s">
        <v>72</v>
      </c>
      <c r="B26" s="167">
        <f>VLOOKUP('Average wages'!A26,Sheet2!A$2:B$41,2,FALSE)</f>
        <v>54842.870772855691</v>
      </c>
    </row>
    <row r="27" spans="1:2" x14ac:dyDescent="0.25">
      <c r="A27" s="163" t="s">
        <v>187</v>
      </c>
      <c r="B27" s="183">
        <f>VLOOKUP('Average wages'!A27,Sheet2!A$2:B$41,2,FALSE)</f>
        <v>64150</v>
      </c>
    </row>
    <row r="28" spans="1:2" x14ac:dyDescent="0.25">
      <c r="A28" s="163" t="s">
        <v>73</v>
      </c>
      <c r="B28" s="175">
        <f>VLOOKUP('Average wages'!A28,Sheet2!A$2:B$41,2,FALSE)</f>
        <v>627369.60910695046</v>
      </c>
    </row>
    <row r="29" spans="1:2" x14ac:dyDescent="0.25">
      <c r="A29" s="163" t="s">
        <v>244</v>
      </c>
      <c r="B29" s="176">
        <f>VLOOKUP('Average wages'!A29,Sheet2!A$2:B$41,2,FALSE)</f>
        <v>60914.712605537614</v>
      </c>
    </row>
    <row r="30" spans="1:2" x14ac:dyDescent="0.25">
      <c r="A30" s="163" t="s">
        <v>74</v>
      </c>
      <c r="B30" s="167">
        <f>VLOOKUP('Average wages'!A30,Sheet2!A$2:B$41,2,FALSE)</f>
        <v>19477.757160093603</v>
      </c>
    </row>
    <row r="31" spans="1:2" x14ac:dyDescent="0.25">
      <c r="A31" s="163" t="s">
        <v>75</v>
      </c>
      <c r="B31" s="167">
        <f>VLOOKUP('Average wages'!A31,Sheet2!A$2:B$41,2,FALSE)</f>
        <v>13200.3067695726</v>
      </c>
    </row>
    <row r="32" spans="1:2" x14ac:dyDescent="0.25">
      <c r="A32" s="163" t="s">
        <v>76</v>
      </c>
      <c r="B32" s="167">
        <f>VLOOKUP('Average wages'!A32,Sheet2!A$2:B$41,2,FALSE)</f>
        <v>20424.328424568183</v>
      </c>
    </row>
    <row r="33" spans="1:2" x14ac:dyDescent="0.25">
      <c r="A33" s="163" t="s">
        <v>77</v>
      </c>
      <c r="B33" s="167">
        <f>VLOOKUP('Average wages'!A33,Sheet2!A$2:B$41,2,FALSE)</f>
        <v>26934.235867848995</v>
      </c>
    </row>
    <row r="34" spans="1:2" x14ac:dyDescent="0.25">
      <c r="A34" s="163" t="s">
        <v>78</v>
      </c>
      <c r="B34" s="175">
        <f>VLOOKUP('Average wages'!A34,Sheet2!A$2:B$41,2,FALSE)</f>
        <v>465766.79293861403</v>
      </c>
    </row>
    <row r="35" spans="1:2" x14ac:dyDescent="0.25">
      <c r="A35" s="163" t="s">
        <v>79</v>
      </c>
      <c r="B35" s="179">
        <f>VLOOKUP('Average wages'!A35,Sheet2!A$2:B$41,2,FALSE)</f>
        <v>87362.859042697499</v>
      </c>
    </row>
    <row r="36" spans="1:2" x14ac:dyDescent="0.25">
      <c r="A36" s="163" t="s">
        <v>80</v>
      </c>
      <c r="B36" s="177">
        <f>VLOOKUP('Average wages'!A36,Sheet2!A$2:B$41,2,FALSE)</f>
        <v>74751</v>
      </c>
    </row>
    <row r="37" spans="1:2" x14ac:dyDescent="0.25">
      <c r="A37" s="163" t="s">
        <v>81</v>
      </c>
      <c r="B37" s="178">
        <f>VLOOKUP('Average wages'!A37,Sheet2!A$2:B$41,2,FALSE)</f>
        <v>41807.284682417005</v>
      </c>
    </row>
    <row r="38" spans="1:2" x14ac:dyDescent="0.25">
      <c r="A38" s="163" t="s">
        <v>316</v>
      </c>
      <c r="B38" s="183">
        <f>VLOOKUP('Average wages'!A38,Sheet2!A$2:B$41,2,FALSE)</f>
        <v>60220.387317486115</v>
      </c>
    </row>
    <row r="39" spans="1:2" x14ac:dyDescent="0.25">
      <c r="A39" s="184" t="s">
        <v>82</v>
      </c>
      <c r="B39" s="185"/>
    </row>
    <row r="40" spans="1:2" x14ac:dyDescent="0.25">
      <c r="A40" s="164" t="s">
        <v>83</v>
      </c>
      <c r="B40" s="180">
        <f>VLOOKUP('Average wages'!A40,Sheet2!A$2:B$41,2,FALSE)</f>
        <v>16095.170639844899</v>
      </c>
    </row>
    <row r="41" spans="1:2" x14ac:dyDescent="0.25">
      <c r="A41" s="164" t="s">
        <v>84</v>
      </c>
      <c r="B41" s="181">
        <f>VLOOKUP('Average wages'!A41,Sheet2!A$2:B$41,2,FALSE)</f>
        <v>103514.31578889703</v>
      </c>
    </row>
    <row r="42" spans="1:2" x14ac:dyDescent="0.25">
      <c r="A42" s="164" t="s">
        <v>585</v>
      </c>
      <c r="B42" s="167">
        <f>VLOOKUP('Average wages'!A42,Sheet2!A$2:B$41,2,FALSE)</f>
        <v>23162.833250693464</v>
      </c>
    </row>
    <row r="43" spans="1:2" x14ac:dyDescent="0.25">
      <c r="A43" s="164" t="s">
        <v>192</v>
      </c>
      <c r="B43" s="167">
        <f>VLOOKUP('Average wages'!A43,Sheet2!A$2:B$41,2,FALSE)</f>
        <v>25902</v>
      </c>
    </row>
    <row r="44" spans="1:2" x14ac:dyDescent="0.25">
      <c r="A44" s="165" t="s">
        <v>87</v>
      </c>
      <c r="B44" s="182">
        <f>VLOOKUP('Average wages'!A44,Sheet2!A$2:B$41,2,FALSE)</f>
        <v>65148</v>
      </c>
    </row>
    <row r="46" spans="1:2" ht="13" x14ac:dyDescent="0.3">
      <c r="A46" s="30" t="s">
        <v>88</v>
      </c>
    </row>
    <row r="47" spans="1:2" x14ac:dyDescent="0.25">
      <c r="A47" s="186" t="s">
        <v>586</v>
      </c>
    </row>
  </sheetData>
  <mergeCells count="2">
    <mergeCell ref="A1:B1"/>
    <mergeCell ref="A2:B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README</vt:lpstr>
      <vt:lpstr>Unemployment Insurance</vt:lpstr>
      <vt:lpstr>Unemployment Assistance</vt:lpstr>
      <vt:lpstr>Social Assistance</vt:lpstr>
      <vt:lpstr>Housing Benefits</vt:lpstr>
      <vt:lpstr>Family provisions</vt:lpstr>
      <vt:lpstr>Employment-related provisions</vt:lpstr>
      <vt:lpstr>Tax treatment of benefits</vt:lpstr>
      <vt:lpstr>Average wages</vt:lpstr>
      <vt:lpstr>Sheet2</vt:lpstr>
    </vt:vector>
  </TitlesOfParts>
  <Company>OECD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BROWNE James</dc:creator>
  <cp:lastModifiedBy>RASTRIGINA Olga</cp:lastModifiedBy>
  <dcterms:created xsi:type="dcterms:W3CDTF">2018-05-25T08:34:50Z</dcterms:created>
  <dcterms:modified xsi:type="dcterms:W3CDTF">2021-03-09T17:37:31Z</dcterms:modified>
</cp:coreProperties>
</file>