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Output Files\Policy-tables\2018\docs for the web\"/>
    </mc:Choice>
  </mc:AlternateContent>
  <bookViews>
    <workbookView xWindow="585" yWindow="3045" windowWidth="24915" windowHeight="8295" activeTab="1"/>
  </bookViews>
  <sheets>
    <sheet name="README" sheetId="1" r:id="rId1"/>
    <sheet name="Unemployment Insurance" sheetId="4" r:id="rId2"/>
    <sheet name="Unemployment Assistance" sheetId="5" r:id="rId3"/>
    <sheet name="Social Assistance" sheetId="6" r:id="rId4"/>
    <sheet name="Housing Benefits" sheetId="7" r:id="rId5"/>
    <sheet name="Family provisions" sheetId="8" r:id="rId6"/>
    <sheet name="Employment-related provisions" sheetId="9" r:id="rId7"/>
    <sheet name="Tax treatment of benefits" sheetId="10" r:id="rId8"/>
    <sheet name="Average wages" sheetId="11" r:id="rId9"/>
    <sheet name="Sheet2" sheetId="13" state="hidden" r:id="rId10"/>
  </sheets>
  <calcPr calcId="162913"/>
</workbook>
</file>

<file path=xl/calcChain.xml><?xml version="1.0" encoding="utf-8"?>
<calcChain xmlns="http://schemas.openxmlformats.org/spreadsheetml/2006/main">
  <c r="K20" i="4" l="1"/>
  <c r="J82" i="8" l="1"/>
  <c r="P28" i="9" l="1"/>
  <c r="P27" i="9"/>
  <c r="P8" i="9"/>
  <c r="O46" i="9" l="1"/>
  <c r="O43" i="9"/>
  <c r="O28" i="9"/>
  <c r="L28" i="9"/>
  <c r="O27" i="9"/>
  <c r="O20" i="9"/>
  <c r="O17" i="9"/>
  <c r="O8" i="9"/>
  <c r="O44" i="9"/>
  <c r="N43" i="9"/>
  <c r="L33" i="9" l="1"/>
  <c r="L32" i="9"/>
  <c r="L31" i="9"/>
  <c r="L27" i="9"/>
  <c r="L13" i="9"/>
  <c r="L12" i="9"/>
  <c r="L48" i="9" l="1"/>
  <c r="L46" i="9"/>
  <c r="L44" i="9"/>
  <c r="L43" i="9"/>
  <c r="L37" i="9"/>
  <c r="L34" i="9"/>
  <c r="L30" i="9"/>
  <c r="L29" i="9"/>
  <c r="L24" i="9"/>
  <c r="L21" i="9"/>
  <c r="L20" i="9" l="1"/>
  <c r="L18" i="9"/>
  <c r="L17" i="9"/>
  <c r="L15" i="9"/>
  <c r="L14" i="9"/>
  <c r="L11" i="9"/>
  <c r="L10" i="9"/>
  <c r="J39" i="9"/>
  <c r="J40" i="9" s="1"/>
  <c r="J37" i="9"/>
  <c r="J29" i="9"/>
  <c r="J20" i="9"/>
  <c r="J17" i="9"/>
  <c r="H33" i="9"/>
  <c r="P40" i="9"/>
  <c r="O40" i="9"/>
  <c r="L40" i="9"/>
  <c r="D8" i="9"/>
  <c r="K101" i="8"/>
  <c r="K156" i="8"/>
  <c r="K155" i="8"/>
  <c r="K153" i="8"/>
  <c r="K145" i="8"/>
  <c r="K144" i="8"/>
  <c r="K140" i="8"/>
  <c r="K106" i="8"/>
  <c r="K87" i="8"/>
  <c r="K69" i="8"/>
  <c r="K60" i="8"/>
  <c r="K51" i="8"/>
  <c r="K48" i="8"/>
  <c r="K47" i="8"/>
  <c r="J14" i="8"/>
  <c r="J153" i="8"/>
  <c r="K142" i="8"/>
  <c r="K143" i="8" s="1"/>
  <c r="J143" i="8"/>
  <c r="J142" i="8"/>
  <c r="J133" i="8"/>
  <c r="J148" i="8"/>
  <c r="J155" i="8" l="1"/>
  <c r="J156" i="8" l="1"/>
  <c r="J152" i="8"/>
  <c r="J145" i="8"/>
  <c r="J144" i="8"/>
  <c r="J140" i="8"/>
  <c r="J139" i="8"/>
  <c r="J125" i="8"/>
  <c r="J111" i="8"/>
  <c r="J110" i="8"/>
  <c r="J109" i="8"/>
  <c r="J104" i="8"/>
  <c r="J101" i="8"/>
  <c r="J98" i="8"/>
  <c r="J88" i="8"/>
  <c r="J69" i="8"/>
  <c r="J68" i="8"/>
  <c r="J66" i="8"/>
  <c r="J63" i="8"/>
  <c r="J62" i="8"/>
  <c r="J61" i="8"/>
  <c r="J51" i="8"/>
  <c r="J49" i="8"/>
  <c r="J33" i="8"/>
  <c r="J32" i="8"/>
  <c r="J31" i="8"/>
  <c r="J27" i="8"/>
  <c r="J28" i="8" s="1"/>
  <c r="J26" i="8"/>
  <c r="J24" i="8"/>
  <c r="J25" i="8" s="1"/>
  <c r="J23" i="8"/>
  <c r="J22" i="8"/>
  <c r="J21" i="8"/>
  <c r="J19" i="8"/>
  <c r="J30" i="8" l="1"/>
  <c r="Q47" i="6" l="1"/>
  <c r="P47" i="6"/>
  <c r="Q23" i="6"/>
  <c r="Q12" i="6"/>
  <c r="Q50" i="6" l="1"/>
  <c r="P43" i="6" l="1"/>
  <c r="P41" i="6"/>
  <c r="P21" i="6"/>
  <c r="P14" i="6"/>
  <c r="N45" i="6"/>
  <c r="M45" i="6"/>
  <c r="L45" i="6"/>
  <c r="K45" i="6"/>
  <c r="N51" i="6"/>
  <c r="M51" i="6"/>
  <c r="L51" i="6"/>
  <c r="K51" i="6"/>
  <c r="M50" i="6"/>
  <c r="L50" i="6"/>
  <c r="K50" i="6"/>
  <c r="M20" i="5"/>
  <c r="M19" i="5"/>
  <c r="K12" i="5"/>
  <c r="K30" i="5" l="1"/>
  <c r="K24" i="5"/>
  <c r="K22" i="5"/>
  <c r="K21" i="5"/>
  <c r="K20" i="5"/>
  <c r="K18" i="5"/>
  <c r="K17" i="5"/>
  <c r="K16" i="5"/>
  <c r="K13" i="5"/>
  <c r="J12" i="5" l="1"/>
  <c r="J30" i="5"/>
  <c r="J26" i="5"/>
  <c r="J24" i="5"/>
  <c r="J22" i="5"/>
  <c r="J21" i="5"/>
  <c r="J20" i="5"/>
  <c r="J19" i="5"/>
  <c r="J18" i="5"/>
  <c r="J17" i="5"/>
  <c r="J16" i="5"/>
  <c r="J15" i="5"/>
  <c r="J13" i="5"/>
  <c r="H26" i="5"/>
  <c r="H25" i="5"/>
  <c r="O39" i="4"/>
  <c r="N42" i="4"/>
  <c r="L41" i="4"/>
  <c r="L49" i="4"/>
  <c r="L46" i="4"/>
  <c r="B41" i="11"/>
  <c r="T12" i="6" l="1"/>
  <c r="T42" i="6" l="1"/>
  <c r="B42" i="6"/>
  <c r="B23" i="11" l="1"/>
  <c r="B5" i="11" l="1"/>
  <c r="B6" i="11"/>
  <c r="H13" i="4" s="1"/>
  <c r="B7" i="11"/>
  <c r="B8" i="11"/>
  <c r="B9" i="11"/>
  <c r="B10" i="11"/>
  <c r="B11" i="11"/>
  <c r="B12" i="11"/>
  <c r="B13" i="11"/>
  <c r="B14" i="11"/>
  <c r="B15" i="11"/>
  <c r="B16" i="11"/>
  <c r="B17" i="11"/>
  <c r="B18" i="11"/>
  <c r="B19" i="11"/>
  <c r="B20" i="11"/>
  <c r="G27" i="4" s="1"/>
  <c r="B21" i="11"/>
  <c r="B22" i="11"/>
  <c r="B24" i="11"/>
  <c r="B25" i="11"/>
  <c r="B26" i="11"/>
  <c r="B27" i="11"/>
  <c r="B28" i="11"/>
  <c r="B29" i="11"/>
  <c r="J113" i="8" s="1"/>
  <c r="B30" i="11"/>
  <c r="L39" i="9" s="1"/>
  <c r="B31" i="11"/>
  <c r="B32" i="11"/>
  <c r="B33" i="11"/>
  <c r="B34" i="11"/>
  <c r="I39" i="4" s="1"/>
  <c r="B35" i="11"/>
  <c r="B36" i="11"/>
  <c r="B37" i="11"/>
  <c r="B39" i="11"/>
  <c r="B40" i="11"/>
  <c r="B42" i="11"/>
  <c r="B43" i="11"/>
  <c r="G49" i="4" s="1"/>
  <c r="B44" i="11"/>
  <c r="G50" i="4" s="1"/>
  <c r="B4" i="11"/>
  <c r="G19" i="4" l="1"/>
  <c r="L19" i="4"/>
  <c r="G41" i="4"/>
  <c r="K41" i="4"/>
  <c r="G22" i="4"/>
  <c r="K22" i="4"/>
  <c r="G54" i="8"/>
  <c r="D21" i="4"/>
  <c r="L21" i="4"/>
  <c r="H33" i="4"/>
  <c r="G33" i="4"/>
  <c r="P23" i="9"/>
  <c r="G79" i="8"/>
  <c r="O23" i="9"/>
  <c r="G78" i="8"/>
  <c r="G80" i="8"/>
  <c r="L9" i="9"/>
  <c r="L12" i="4"/>
  <c r="N41" i="6"/>
  <c r="G129" i="8"/>
  <c r="M41" i="6"/>
  <c r="K39" i="4"/>
  <c r="G128" i="8"/>
  <c r="L41" i="6"/>
  <c r="K41" i="6"/>
  <c r="G96" i="8"/>
  <c r="G94" i="8"/>
  <c r="F96" i="8"/>
  <c r="I30" i="7"/>
  <c r="J95" i="8"/>
  <c r="P32" i="6"/>
  <c r="G97" i="8"/>
  <c r="G95" i="8"/>
  <c r="G77" i="8"/>
  <c r="G76" i="8"/>
  <c r="I25" i="7"/>
  <c r="L28" i="6"/>
  <c r="P28" i="6"/>
  <c r="K28" i="6"/>
  <c r="N28" i="6"/>
  <c r="K26" i="4"/>
  <c r="M28" i="6"/>
  <c r="K10" i="8"/>
  <c r="L8" i="9"/>
  <c r="P12" i="6"/>
  <c r="J13" i="8"/>
  <c r="G11" i="8"/>
  <c r="G13" i="8"/>
  <c r="J10" i="8"/>
  <c r="J12" i="8"/>
  <c r="G10" i="8"/>
  <c r="K12" i="6"/>
  <c r="N12" i="6" s="1"/>
  <c r="G12" i="8"/>
  <c r="I11" i="7"/>
  <c r="L12" i="6"/>
  <c r="G107" i="8"/>
  <c r="I32" i="7"/>
  <c r="K34" i="6"/>
  <c r="J105" i="8"/>
  <c r="J106" i="8"/>
  <c r="G104" i="8"/>
  <c r="N34" i="6"/>
  <c r="P34" i="9"/>
  <c r="G105" i="8"/>
  <c r="G103" i="8"/>
  <c r="M34" i="6"/>
  <c r="O34" i="9"/>
  <c r="G108" i="8"/>
  <c r="G106" i="8"/>
  <c r="G102" i="8"/>
  <c r="L34" i="6"/>
  <c r="K32" i="4"/>
  <c r="J32" i="4"/>
  <c r="D32" i="4"/>
  <c r="P24" i="6"/>
  <c r="G58" i="8"/>
  <c r="G36" i="8"/>
  <c r="K17" i="4"/>
  <c r="L19" i="6"/>
  <c r="J17" i="4"/>
  <c r="K19" i="6"/>
  <c r="G35" i="8"/>
  <c r="N19" i="6"/>
  <c r="G37" i="8"/>
  <c r="I16" i="7"/>
  <c r="M19" i="6"/>
  <c r="J135" i="8"/>
  <c r="O48" i="9"/>
  <c r="P48" i="9"/>
  <c r="G135" i="8"/>
  <c r="G132" i="8"/>
  <c r="G134" i="8"/>
  <c r="J132" i="8"/>
  <c r="G133" i="8"/>
  <c r="K43" i="6"/>
  <c r="N43" i="6"/>
  <c r="M43" i="6"/>
  <c r="K42" i="4"/>
  <c r="L43" i="6"/>
  <c r="J42" i="4"/>
  <c r="O45" i="9"/>
  <c r="I37" i="7"/>
  <c r="K40" i="6"/>
  <c r="L45" i="9"/>
  <c r="N40" i="6"/>
  <c r="J27" i="5"/>
  <c r="G127" i="8"/>
  <c r="M40" i="6"/>
  <c r="K38" i="4"/>
  <c r="G126" i="8"/>
  <c r="L40" i="6"/>
  <c r="J38" i="4"/>
  <c r="K32" i="6"/>
  <c r="M32" i="6"/>
  <c r="K31" i="4"/>
  <c r="N32" i="6"/>
  <c r="J31" i="4"/>
  <c r="L32" i="6"/>
  <c r="L13" i="6"/>
  <c r="G17" i="8"/>
  <c r="I12" i="7"/>
  <c r="K13" i="6"/>
  <c r="K12" i="4"/>
  <c r="G16" i="8"/>
  <c r="N13" i="6"/>
  <c r="C12" i="4"/>
  <c r="G15" i="8"/>
  <c r="M13" i="6"/>
  <c r="G14" i="8"/>
  <c r="P22" i="9"/>
  <c r="F72" i="8"/>
  <c r="J86" i="8"/>
  <c r="I27" i="7"/>
  <c r="N29" i="6"/>
  <c r="K28" i="4"/>
  <c r="L29" i="6"/>
  <c r="G86" i="8"/>
  <c r="H27" i="7"/>
  <c r="M29" i="6"/>
  <c r="J28" i="4"/>
  <c r="Q29" i="6"/>
  <c r="J85" i="8"/>
  <c r="G85" i="8"/>
  <c r="P29" i="6"/>
  <c r="K29" i="6"/>
  <c r="I24" i="7"/>
  <c r="P27" i="6"/>
  <c r="K23" i="5"/>
  <c r="K72" i="8"/>
  <c r="L22" i="9"/>
  <c r="J72" i="8"/>
  <c r="J73" i="8" s="1"/>
  <c r="G75" i="8"/>
  <c r="G72" i="8"/>
  <c r="G73" i="8" s="1"/>
  <c r="G74" i="8"/>
  <c r="G71" i="8"/>
  <c r="J23" i="5"/>
  <c r="G25" i="4"/>
  <c r="M27" i="6"/>
  <c r="N27" i="6" s="1"/>
  <c r="L27" i="6"/>
  <c r="K25" i="4"/>
  <c r="K27" i="6"/>
  <c r="J25" i="4"/>
  <c r="L47" i="9"/>
  <c r="J131" i="8"/>
  <c r="G130" i="8"/>
  <c r="O47" i="9"/>
  <c r="P47" i="9"/>
  <c r="G131" i="8"/>
  <c r="I39" i="7"/>
  <c r="K130" i="8"/>
  <c r="J130" i="8"/>
  <c r="P42" i="6"/>
  <c r="K42" i="6"/>
  <c r="K28" i="5"/>
  <c r="J28" i="5"/>
  <c r="L42" i="6"/>
  <c r="L42" i="9"/>
  <c r="P42" i="9"/>
  <c r="K34" i="4"/>
  <c r="K36" i="6"/>
  <c r="M36" i="6" s="1"/>
  <c r="G115" i="8"/>
  <c r="M37" i="6"/>
  <c r="P21" i="9"/>
  <c r="G55" i="8"/>
  <c r="G52" i="8"/>
  <c r="G57" i="8"/>
  <c r="O21" i="9"/>
  <c r="G56" i="8"/>
  <c r="I20" i="7"/>
  <c r="G53" i="8"/>
  <c r="L24" i="6"/>
  <c r="N23" i="6"/>
  <c r="K24" i="6"/>
  <c r="L23" i="6"/>
  <c r="M23" i="6"/>
  <c r="N24" i="6"/>
  <c r="K23" i="6"/>
  <c r="M24" i="6"/>
  <c r="P23" i="6"/>
  <c r="K21" i="4"/>
  <c r="K113" i="8"/>
  <c r="K114" i="8" s="1"/>
  <c r="G118" i="8"/>
  <c r="J34" i="4"/>
  <c r="G114" i="8"/>
  <c r="O37" i="9"/>
  <c r="J116" i="8"/>
  <c r="J114" i="8"/>
  <c r="J115" i="8" s="1"/>
  <c r="K38" i="6"/>
  <c r="G120" i="8"/>
  <c r="G124" i="8" s="1"/>
  <c r="J121" i="8"/>
  <c r="J124" i="8"/>
  <c r="K35" i="4"/>
  <c r="N37" i="6"/>
  <c r="G119" i="8"/>
  <c r="L38" i="6"/>
  <c r="J120" i="8"/>
  <c r="G122" i="8"/>
  <c r="G113" i="8"/>
  <c r="G116" i="8" s="1"/>
  <c r="K37" i="6"/>
  <c r="G117" i="8"/>
  <c r="L38" i="9"/>
  <c r="K36" i="4"/>
  <c r="I35" i="7"/>
  <c r="G121" i="8"/>
  <c r="J36" i="4"/>
  <c r="M38" i="6"/>
  <c r="N38" i="6" s="1"/>
  <c r="K120" i="8"/>
  <c r="K124" i="8" s="1"/>
  <c r="G123" i="8"/>
  <c r="J25" i="5"/>
  <c r="L37" i="6"/>
  <c r="F118" i="8"/>
  <c r="J38" i="9" s="1"/>
  <c r="A50" i="7"/>
  <c r="B159" i="8"/>
  <c r="A57" i="9"/>
  <c r="A53" i="6"/>
  <c r="L36" i="6" l="1"/>
  <c r="N36" i="6"/>
  <c r="K116" i="8"/>
</calcChain>
</file>

<file path=xl/sharedStrings.xml><?xml version="1.0" encoding="utf-8"?>
<sst xmlns="http://schemas.openxmlformats.org/spreadsheetml/2006/main" count="4119" uniqueCount="1409">
  <si>
    <t>General notes:</t>
  </si>
  <si>
    <t>1. The following tables give an overview of countries' benefit (and tax systems where applicable) systems. The information is based on the OECD's tax-benefit simulation models (see link below).</t>
  </si>
  <si>
    <t>2. For country-specific information also refer to the country chapters (http://www.oecd.org/els/soc/benefitsandwagescountryspecificinformation.htm); for methodogical questions refer to the methodology document (http://www.oecd.org/els/soc/Methodology_2013.pdf).</t>
  </si>
  <si>
    <t>3. The table "Family provisions" includes benefits and provisions for families and lone parents and covers the classical family benefits. It also includes family-specific provisions that work through the tax system (like tax allowances and (non-wastable) tax credits) and family-specific provisions in the scope of unemployment insurance, unemployment assistance and social assistance system.</t>
  </si>
  <si>
    <t>4. The table "Empl(oyment) cond(itional) provisions" includes benefits and provisions for the employed. It includes in-work benefits, re-employment allowances, provisions through the tax system (like tax allowances and earned income tax credits), preferential treatment of earnings in the means tests of unemployment and social assistance benefits, and schemes available for working parents.</t>
  </si>
  <si>
    <t>5. Some benefits or provisions will show in two tables:</t>
  </si>
  <si>
    <t>Example 1:</t>
  </si>
  <si>
    <t>Example 2:</t>
  </si>
  <si>
    <t>Various provisions for families are conditional on the parents working. Such provisions will show in the table "Family provisions" and the table "Empl(oyment) cond(itional) provisions".</t>
  </si>
  <si>
    <t>Source:</t>
  </si>
  <si>
    <t>http://www.oecd.org/els/soc/benefits-and-wages.htm</t>
  </si>
  <si>
    <t>Unemployment insurance benefits</t>
  </si>
  <si>
    <t>qual table</t>
  </si>
  <si>
    <t>quant  table</t>
  </si>
  <si>
    <t>Source lookup value:</t>
  </si>
  <si>
    <t>PT_UI_name</t>
  </si>
  <si>
    <t>PT_UI_contribution_type</t>
  </si>
  <si>
    <t>PT_UI_empl_contr_condition</t>
  </si>
  <si>
    <t>PT_UI_waiting</t>
  </si>
  <si>
    <t>PT_UI_max_duration</t>
  </si>
  <si>
    <t>PT_UI_perc_rate_initial</t>
  </si>
  <si>
    <t>PT_UI_perc_rate_final</t>
  </si>
  <si>
    <t>PT_UI_reference_earnings</t>
  </si>
  <si>
    <t>PT_UI_benefit_floor_AW</t>
  </si>
  <si>
    <t>PT_UI_benefit_ceiling_AW</t>
  </si>
  <si>
    <t>PT_UI_empl_disreg</t>
  </si>
  <si>
    <t>PT_UI_var_age</t>
  </si>
  <si>
    <t>PT_UI_var_family</t>
  </si>
  <si>
    <t>PT_UI_var_other</t>
  </si>
  <si>
    <t>Programme name, national language</t>
  </si>
  <si>
    <t xml:space="preserve">Insurance is voluntary (V) or automatic / compulsory (C) </t>
  </si>
  <si>
    <t>Previous employment (E) and contribution (C) conditions</t>
  </si>
  <si>
    <t>Waiting period (days)</t>
  </si>
  <si>
    <t>Maximum duration (months)</t>
  </si>
  <si>
    <t>Benefit Calculation</t>
  </si>
  <si>
    <t>Benefit provision for specific groups:
Eligibility (E) or generosity (G) varies by …</t>
  </si>
  <si>
    <t>Initial benefit, % of reference earnings</t>
  </si>
  <si>
    <t>Final benefit (end of entitlement period), % of reference earnings</t>
  </si>
  <si>
    <t>Definition of reference earnings(2)</t>
  </si>
  <si>
    <r>
      <t>Benefit floor</t>
    </r>
    <r>
      <rPr>
        <vertAlign val="superscript"/>
        <sz val="10"/>
        <rFont val="Arial"/>
        <family val="2"/>
      </rPr>
      <t>(3)</t>
    </r>
  </si>
  <si>
    <r>
      <t>Benefit ceiling</t>
    </r>
    <r>
      <rPr>
        <vertAlign val="superscript"/>
        <sz val="10"/>
        <rFont val="Arial"/>
        <family val="2"/>
      </rPr>
      <t>(3)</t>
    </r>
  </si>
  <si>
    <t>Cumulation of earnings and benefits: permitted employment and mechanisms for reducing entitlements</t>
  </si>
  <si>
    <t>% of AW</t>
  </si>
  <si>
    <t>age</t>
  </si>
  <si>
    <t>family situation</t>
  </si>
  <si>
    <t>other</t>
  </si>
  <si>
    <t>[1]</t>
  </si>
  <si>
    <t>[2]</t>
  </si>
  <si>
    <t>[3]</t>
  </si>
  <si>
    <t>[4]</t>
  </si>
  <si>
    <t>[5]</t>
  </si>
  <si>
    <t>[6]</t>
  </si>
  <si>
    <t>[7]</t>
  </si>
  <si>
    <t>[8]</t>
  </si>
  <si>
    <t>[9]</t>
  </si>
  <si>
    <t>[10]</t>
  </si>
  <si>
    <t>[11]</t>
  </si>
  <si>
    <t>[12]</t>
  </si>
  <si>
    <t>[13]</t>
  </si>
  <si>
    <t>[14]</t>
  </si>
  <si>
    <t>OECD countries</t>
  </si>
  <si>
    <t>Austria</t>
  </si>
  <si>
    <r>
      <t>Belgium</t>
    </r>
    <r>
      <rPr>
        <vertAlign val="superscript"/>
        <sz val="9"/>
        <rFont val="Arial"/>
        <family val="2"/>
      </rPr>
      <t>(4)</t>
    </r>
  </si>
  <si>
    <r>
      <t>Canada</t>
    </r>
    <r>
      <rPr>
        <vertAlign val="superscript"/>
        <sz val="9"/>
        <rFont val="Arial"/>
        <family val="2"/>
      </rPr>
      <t>(4)</t>
    </r>
  </si>
  <si>
    <t>Chile</t>
  </si>
  <si>
    <t>Czech Republic</t>
  </si>
  <si>
    <t>Denmark</t>
  </si>
  <si>
    <t>Estonia</t>
  </si>
  <si>
    <t>Finland</t>
  </si>
  <si>
    <t>France</t>
  </si>
  <si>
    <t>Germany</t>
  </si>
  <si>
    <t>Greece</t>
  </si>
  <si>
    <t>Hungary</t>
  </si>
  <si>
    <t>Iceland</t>
  </si>
  <si>
    <t>Ireland</t>
  </si>
  <si>
    <t>Israel</t>
  </si>
  <si>
    <t>Italy</t>
  </si>
  <si>
    <t>Japan</t>
  </si>
  <si>
    <t>Korea</t>
  </si>
  <si>
    <t>Luxembourg</t>
  </si>
  <si>
    <t>Netherlands</t>
  </si>
  <si>
    <t>Norway</t>
  </si>
  <si>
    <r>
      <t>Poland</t>
    </r>
    <r>
      <rPr>
        <vertAlign val="superscript"/>
        <sz val="9"/>
        <rFont val="Arial"/>
        <family val="2"/>
      </rPr>
      <t>(7)</t>
    </r>
  </si>
  <si>
    <t>Portugal</t>
  </si>
  <si>
    <t>Slovak Republic</t>
  </si>
  <si>
    <t>Slovenia</t>
  </si>
  <si>
    <t>Spain</t>
  </si>
  <si>
    <t>Sweden</t>
  </si>
  <si>
    <t>Switzerland</t>
  </si>
  <si>
    <t>Turkey</t>
  </si>
  <si>
    <t>United Kingdom</t>
  </si>
  <si>
    <r>
      <t>United States</t>
    </r>
    <r>
      <rPr>
        <vertAlign val="superscript"/>
        <sz val="9"/>
        <rFont val="Arial"/>
        <family val="2"/>
      </rPr>
      <t>(8)</t>
    </r>
  </si>
  <si>
    <t>Additional EU countries</t>
  </si>
  <si>
    <t>Bulgaria</t>
  </si>
  <si>
    <t>Croatia</t>
  </si>
  <si>
    <t>Latvia</t>
  </si>
  <si>
    <t>Lithuania</t>
  </si>
  <si>
    <t>Romania</t>
  </si>
  <si>
    <t>Notes:</t>
  </si>
  <si>
    <t>1. "n.a." equals not applicable, "..." equals no information available.</t>
  </si>
  <si>
    <t>2.  Gross = gross employment income; SSC = (employee) social security contributions; Net = Gross minus income taxes minus SSC.</t>
  </si>
  <si>
    <t>3.  All amounts are shown on an annualised basis. "--" indicates that there is no such provision. AW = Average Wage of a full-time private sector employee.</t>
  </si>
  <si>
    <t>4. BEL: Maximum benefit ceiling during the first six months of unemployment; benefit floor refers to flat rate paid from the 5th year of unemployment on.</t>
  </si>
  <si>
    <t>5. CAN:  The duration of Employment Insurance (EI) payments depends on the unemployment rate in the relevant EI region. The 40 week duration shown here relates to the unemployment rate of Ontario.</t>
  </si>
  <si>
    <t>6. MLT: Minimum benefit refers to contributory unemployment benefit, maximum benefit to special unemployment benefit6</t>
  </si>
  <si>
    <t>7. POL: The basic amount (see column on intial and final amount) is adjusted with the length of employment record; 80% with less than 5 years, 100% from 5 to 20 years, 120% for more than 20 years. The minimum benefit calculation shows the final basic amount for the first case; the maximum benefit the initial basic for the third case.</t>
  </si>
  <si>
    <r>
      <t>Source:</t>
    </r>
    <r>
      <rPr>
        <sz val="9"/>
        <rFont val="Arial"/>
        <family val="2"/>
      </rPr>
      <t xml:space="preserve"> OECD.</t>
    </r>
  </si>
  <si>
    <t>Arbeitslosengeld</t>
  </si>
  <si>
    <t>E + C: 1 out of last 2 years; 28 weeks in case of repeated unemployment</t>
  </si>
  <si>
    <t>Net</t>
  </si>
  <si>
    <t>n.a.</t>
  </si>
  <si>
    <t>Assurance chômage</t>
  </si>
  <si>
    <t>C</t>
  </si>
  <si>
    <t>E+C: 468 days in 27 months</t>
  </si>
  <si>
    <t>Unlimited</t>
  </si>
  <si>
    <t>Until month 3 (1st period - phase 1): 65%</t>
  </si>
  <si>
    <t>Gross</t>
  </si>
  <si>
    <t>Special UI regimes for young graduates and older unemployed (allocations d'insertions, stage d'insertions professionelle; Prépension (CCT))</t>
  </si>
  <si>
    <t>Employment Insurance</t>
  </si>
  <si>
    <t>None</t>
  </si>
  <si>
    <t>…</t>
  </si>
  <si>
    <t>E + C: 12 months in 2 years</t>
  </si>
  <si>
    <t>Until month 2: 65%</t>
  </si>
  <si>
    <t>From month 5: 45%</t>
  </si>
  <si>
    <t>none</t>
  </si>
  <si>
    <t>Earnings of half the minimum wage are permitted; benefit stops if earnings beyond this limit</t>
  </si>
  <si>
    <t>Ledige dagpengemodtagere</t>
  </si>
  <si>
    <t>V</t>
  </si>
  <si>
    <t>E: 1 924 hours of full-time work within the last three years; 
C: payment of membership fee</t>
  </si>
  <si>
    <t>24 in 3 years</t>
  </si>
  <si>
    <t>Gross less 8% SSC</t>
  </si>
  <si>
    <t>Possible when working reduced hours; paid on the basis of the member’s individual rate of unemployment benefits; max. 30 weeks within a period of 104 weeks; unemployment period of at least 7.4 hours per week</t>
  </si>
  <si>
    <t>Töötuskindlustushüvitis</t>
  </si>
  <si>
    <t>E + C: 12 months in 3 years</t>
  </si>
  <si>
    <t>Until day 100: 50%</t>
  </si>
  <si>
    <t>From day 101: 40%</t>
  </si>
  <si>
    <t>None permitted</t>
  </si>
  <si>
    <t>C: 4 months in 28 months</t>
  </si>
  <si>
    <t>57% - 75%</t>
  </si>
  <si>
    <t>Permitted up to 70% of reference earnings, 110 hours of work per month and a duration of 16 months; benefit reduced in line with ratio to reference earnings</t>
  </si>
  <si>
    <t>επίδομα ανεργίας</t>
  </si>
  <si>
    <t>E + C: 125 days in last 14 months or 200 days in last two years and for first time unemployed 80 days per year in the last two years</t>
  </si>
  <si>
    <t>Álláskeresési járadék</t>
  </si>
  <si>
    <t>E + C: 360 days in previous 3 years</t>
  </si>
  <si>
    <t>90 days</t>
  </si>
  <si>
    <t>No regular employment permitted, suspension of benefit for short-term (&lt;90 days) and seasonal employment</t>
  </si>
  <si>
    <t>Atvinnuleysisdagpeningar</t>
  </si>
  <si>
    <t>E + C: 3 in last 12 months</t>
  </si>
  <si>
    <t>Jobseeker's benefit</t>
  </si>
  <si>
    <t>C: 104 weekly contributions paid since starting work and 39 of those during the year preceding the benefit year, or 26 weekly contributions paid in each of the two relevant tax years preceding the benefit year</t>
  </si>
  <si>
    <t>דמי אבטלה (יומיים)</t>
  </si>
  <si>
    <t>E + C: 12 in 18 preceeding months</t>
  </si>
  <si>
    <t>E + C: 52 weeks of contributions in the two years preceding</t>
  </si>
  <si>
    <t>No</t>
  </si>
  <si>
    <t>E + C: 6 months in the year preceding unemployment (and more than 11 days of work per month)</t>
  </si>
  <si>
    <t>E + C: 6 out of last 18 months</t>
  </si>
  <si>
    <t>E + C: 26 weeks out of last 12 months</t>
  </si>
  <si>
    <t>E + C for short-term benefit: 26 weeks in last 36 weeks
E + C for medium-term benefit: 26 weeks in last 36 weeks and 4 out of 5 last years</t>
  </si>
  <si>
    <t>Until month 2: 75%</t>
  </si>
  <si>
    <t>From month 3: 70%</t>
  </si>
  <si>
    <t>&lt; 5 hours/week: benefit is reduced by 70% of current earnings;
&gt;= 5 hours/week: benefit reduced in proportion to working hours</t>
  </si>
  <si>
    <t>3 days (registered as unemployed out of last 15 work days)</t>
  </si>
  <si>
    <t>G: + supplement for each child</t>
  </si>
  <si>
    <t>Zatrudnienie i przeciwdziałanie bezrobociu - Zasiłek dla bezrobotnych</t>
  </si>
  <si>
    <t>E + C: 12 in last 18 months</t>
  </si>
  <si>
    <t>E + C: 360 days in last 24 months</t>
  </si>
  <si>
    <t>E + C: 24 out of last 36 months</t>
  </si>
  <si>
    <t>C: 360 days in 6 preceding years</t>
  </si>
  <si>
    <t>G: + minimum and maximum benefit more generous for families with children</t>
  </si>
  <si>
    <t>Benefit reduced in proportion to days worked</t>
  </si>
  <si>
    <t>E + C: 12 out of last 24 months</t>
  </si>
  <si>
    <t>E + C: 600 days out of last 36 months, continuously in last 120 days</t>
  </si>
  <si>
    <t>Jobseeker's Allowance (contribution based)</t>
  </si>
  <si>
    <t>C: 12 months in 24</t>
  </si>
  <si>
    <t>--</t>
  </si>
  <si>
    <t>C: Insurance instalments must have been made for at least 9 months out of the last 15 months.</t>
  </si>
  <si>
    <t>E + C: 9 months in last 2 years</t>
  </si>
  <si>
    <t>C: 9 out of last 12 months</t>
  </si>
  <si>
    <t>Nedarbo draudimo išmoka</t>
  </si>
  <si>
    <t>E + C: 18 out of last 36 months</t>
  </si>
  <si>
    <t>E + C: 50 weeks of which 20 in the last two years</t>
  </si>
  <si>
    <t>E + C: 12 in last 24 months</t>
  </si>
  <si>
    <t>Source: OECD.</t>
  </si>
  <si>
    <t>E + C: 630 hours in 1 year</t>
  </si>
  <si>
    <t>Up to 40% of benefits or CAD3900, whichever higher</t>
  </si>
  <si>
    <t>Seguro de cesantia</t>
  </si>
  <si>
    <t>C: for employees who started working after Oct 2 2002</t>
  </si>
  <si>
    <t>E + C: 12 (6) months of contributions when on permanent (transitory) contract</t>
  </si>
  <si>
    <t>Withdrawals from individual savings account for as long as balance permits</t>
  </si>
  <si>
    <t>From month 7: 20%</t>
  </si>
  <si>
    <t>Podpora v nezaměstnanosti</t>
  </si>
  <si>
    <t>C: basic benefit;
V: earnings-related benefit</t>
  </si>
  <si>
    <t>Gross excluding holiday pay, minus a fraction of SSC</t>
  </si>
  <si>
    <t>For occasional employment (&lt;3 days at a time) benefit is reduced in proportion to the number of hours worked</t>
  </si>
  <si>
    <t>From month 7: 60%</t>
  </si>
  <si>
    <t>雇用保険・基本手当</t>
  </si>
  <si>
    <t>구직급여</t>
  </si>
  <si>
    <t>100% withdrawal rate; benefit stops if working more than 60 hours per month</t>
  </si>
  <si>
    <t>Indemnisation du chômage complet</t>
  </si>
  <si>
    <t>100% withdrawal rate beyond a disregard of 10% of benefit amount.</t>
  </si>
  <si>
    <t>Gross earnings up to half the minimum gross remuneration (23% of AW) disregarded</t>
  </si>
  <si>
    <t xml:space="preserve">Subisdio de desemprego </t>
  </si>
  <si>
    <t>Until month 6: 65%</t>
  </si>
  <si>
    <t>From month 7: daily benefit amount reduced by 10%</t>
  </si>
  <si>
    <t>Dávka v nezamestnanosti</t>
  </si>
  <si>
    <t>Denarno nadomestilo za primer brezposelnosti</t>
  </si>
  <si>
    <t>Until month 3: 80%</t>
  </si>
  <si>
    <t>From month 4: 60%</t>
  </si>
  <si>
    <t>Benefit reduced in proportion with working hours, full withdrawal at 20 hours per week</t>
  </si>
  <si>
    <t>Until month 6: 70%</t>
  </si>
  <si>
    <t>From month 7: 50%</t>
  </si>
  <si>
    <t>Benefit reduced in proportion to hours worked</t>
  </si>
  <si>
    <t xml:space="preserve">Benefit entitlement equal to relevant percentage of difference between reference earnings and current earnings, thus for an individual without children benefits are reduced by 70% of earnings. </t>
  </si>
  <si>
    <t>İşsizlik Ödeneği</t>
  </si>
  <si>
    <t>Unemployment Insurance benefits</t>
  </si>
  <si>
    <t>E: 20 weeks (plus minimum earnings requirement)</t>
  </si>
  <si>
    <t>Gross "high quarter earnings" (highest quarterly earnings in the last four completed quarters other than the most recent one)</t>
  </si>
  <si>
    <t>Фонд "Бeзработица" - Обезщетение за безработица</t>
  </si>
  <si>
    <t>C for all employees hired to work for more than five working days or 40 hours during one calendar month.</t>
  </si>
  <si>
    <t>novčana naknada za vrijeme nezaposlenosti</t>
  </si>
  <si>
    <t>Until day 90: 70%</t>
  </si>
  <si>
    <t>From day 91: 35%</t>
  </si>
  <si>
    <t>Bezdarbnieka pabalsts</t>
  </si>
  <si>
    <t>G: + lump-sum bonus for (S)UP recipients of 2 % of AW;+ additional benefit through supplementary allowance if income less social security contributions below 41% of AW</t>
  </si>
  <si>
    <t>Indemnizatia de somaj</t>
  </si>
  <si>
    <r>
      <t xml:space="preserve">Peruspäiväraha </t>
    </r>
    <r>
      <rPr>
        <sz val="9"/>
        <rFont val="Arial"/>
        <family val="2"/>
      </rPr>
      <t>(basic flat rate benefit)</t>
    </r>
    <r>
      <rPr>
        <i/>
        <sz val="9"/>
        <rFont val="Arial"/>
        <family val="2"/>
      </rPr>
      <t>; Ansiopäiväraha</t>
    </r>
    <r>
      <rPr>
        <sz val="9"/>
        <rFont val="Arial"/>
        <family val="2"/>
      </rPr>
      <t xml:space="preserve"> (earnings-related benefit)</t>
    </r>
  </si>
  <si>
    <r>
      <t xml:space="preserve">Assucurazione Sociale per l'Impiego (ASPI), </t>
    </r>
    <r>
      <rPr>
        <sz val="9"/>
        <rFont val="Arial"/>
        <family val="2"/>
      </rPr>
      <t>phased in fully in 2017</t>
    </r>
  </si>
  <si>
    <r>
      <rPr>
        <i/>
        <sz val="9"/>
        <rFont val="Arial"/>
        <family val="2"/>
      </rPr>
      <t>Allocation d'aide au retour à l'emploi</t>
    </r>
    <r>
      <rPr>
        <sz val="9"/>
        <rFont val="Arial"/>
        <family val="2"/>
      </rPr>
      <t xml:space="preserve"> (ARE)</t>
    </r>
  </si>
  <si>
    <r>
      <rPr>
        <i/>
        <sz val="9"/>
        <rFont val="Arial"/>
        <family val="2"/>
      </rPr>
      <t>Arbeitslosengeld</t>
    </r>
    <r>
      <rPr>
        <sz val="9"/>
        <rFont val="Arial"/>
        <family val="2"/>
      </rPr>
      <t xml:space="preserve"> (ALG I)</t>
    </r>
  </si>
  <si>
    <t>PT_UA_name</t>
  </si>
  <si>
    <t>PT_UA_empl_contr_condition</t>
  </si>
  <si>
    <t>PT_UA_waiting</t>
  </si>
  <si>
    <t>PT_UA_max_duration</t>
  </si>
  <si>
    <t>PT_UA_perc_rate_initial</t>
  </si>
  <si>
    <t>PT_UA_perc_rate_final</t>
  </si>
  <si>
    <t>PT_UA_reference_earnings</t>
  </si>
  <si>
    <t>PT_UA_benefit_floor_AW</t>
  </si>
  <si>
    <t>PT_UA_benefit_ceiling_AW</t>
  </si>
  <si>
    <t>PT_UA_empl_disreg</t>
  </si>
  <si>
    <t>PT_UA_var_age</t>
  </si>
  <si>
    <t>PT_UA_var_family</t>
  </si>
  <si>
    <t>PT_UA_var_other</t>
  </si>
  <si>
    <t>Program name in local language</t>
  </si>
  <si>
    <t>Employment record (E) and contribution (C) conditions and relationship to unemployment insurance benefits (UI)</t>
  </si>
  <si>
    <t xml:space="preserve">Benefit provision (eligibility (E), generosity (G)) varies with </t>
  </si>
  <si>
    <t>initial benefit as % of calculation base</t>
  </si>
  <si>
    <t>benefit at the end of legal entitlement period in % of calculation base</t>
  </si>
  <si>
    <r>
      <t>Calculation base</t>
    </r>
    <r>
      <rPr>
        <vertAlign val="superscript"/>
        <sz val="10"/>
        <rFont val="Arial"/>
        <family val="2"/>
      </rPr>
      <t>(1)</t>
    </r>
  </si>
  <si>
    <r>
      <t>Australia</t>
    </r>
    <r>
      <rPr>
        <vertAlign val="superscript"/>
        <sz val="9"/>
        <rFont val="Arial"/>
        <family val="2"/>
      </rPr>
      <t>(4)</t>
    </r>
  </si>
  <si>
    <t>No limit</t>
  </si>
  <si>
    <t>Unemployment solidarity fund of unemployment insurance (if individual savings account without enough resources)</t>
  </si>
  <si>
    <t>Minimum flat rate benefit of 2% of AW if unemployment insurance exhausted</t>
  </si>
  <si>
    <t>Minimum flat rate benefit of 0.9% of AW if unemployment insurance exhausted, 0.75% of AW in case of unemployment rate 1ppt above average rate of four previous years</t>
  </si>
  <si>
    <t>Flat rate of 26%</t>
  </si>
  <si>
    <t>Töötutoetus</t>
  </si>
  <si>
    <t>270 days (including time on unemployment insurance benefit)</t>
  </si>
  <si>
    <t>Työmarkkinatuki</t>
  </si>
  <si>
    <t>E + C: 180 days in the year previous to unemployment or UI exhausted</t>
  </si>
  <si>
    <t>E: 5 out of 10 years prior to start of current unemployment spell</t>
  </si>
  <si>
    <r>
      <t>Germany</t>
    </r>
    <r>
      <rPr>
        <vertAlign val="superscript"/>
        <sz val="9"/>
        <rFont val="Arial"/>
        <family val="2"/>
      </rPr>
      <t>(5)</t>
    </r>
  </si>
  <si>
    <t>Jobseeker's allowance</t>
  </si>
  <si>
    <t>UI: not qualify for UI or UI claim exhausted</t>
  </si>
  <si>
    <t>New Zealand</t>
  </si>
  <si>
    <t>Unemployment assistance</t>
  </si>
  <si>
    <t>Subsìdio social de desemprego (subsidio inicial, subsequente)</t>
  </si>
  <si>
    <t xml:space="preserve">G: + longer benefit duration for those aged 52 or over at the start of the period of unemployment. </t>
  </si>
  <si>
    <t xml:space="preserve">Servicio Público de Empleo: Nivel Asistencial - Subsidio </t>
  </si>
  <si>
    <t>UI: exhausted unemployment insurance benefits and is above 45 or has family responsibility; or does not qualify for UI because too little contributions paid</t>
  </si>
  <si>
    <t>Benefit fully withdrawn if earnings above 75% of interprofessional minimum wage (22% of AW)</t>
  </si>
  <si>
    <t>E: + unlimited duration for over 55 year olds</t>
  </si>
  <si>
    <t>G: - benefit proportionally lower for formerly part-time employed</t>
  </si>
  <si>
    <t>Jobseeker's Allowance (income-based)</t>
  </si>
  <si>
    <t>Unemployment Assistance benefits</t>
  </si>
  <si>
    <t>For a 40-year old single (where benefits are conditional on work history, the table assumes a long and uninterrupted employment record)</t>
  </si>
  <si>
    <t>UI: claim exhausted or contribution record too short for UI</t>
  </si>
  <si>
    <t>G: + lump-sum bonus for (S)UP recipients of 2 % of AW</t>
  </si>
  <si>
    <r>
      <rPr>
        <i/>
        <sz val="9"/>
        <rFont val="Arial"/>
        <family val="2"/>
      </rPr>
      <t>Allocation de solidarité spécifique</t>
    </r>
    <r>
      <rPr>
        <sz val="9"/>
        <rFont val="Arial"/>
        <family val="2"/>
      </rPr>
      <t xml:space="preserve"> (ASS)</t>
    </r>
  </si>
  <si>
    <t>Malta</t>
  </si>
  <si>
    <t>2. Gross = gross employment income; SSC = (employee) social security contributions; Net = Gross minus income taxes minus SSC.</t>
  </si>
  <si>
    <t>3. All amounts are shown on an annualised basis. "--" indicates that there is no such provision. AW = Average Wage of a full-time private sector employee.</t>
  </si>
  <si>
    <t>1. "n.a.": not applicable, "...": information not available.</t>
  </si>
  <si>
    <t>Social Assistance benefits</t>
  </si>
  <si>
    <t>TB outputs</t>
  </si>
  <si>
    <t>PT_SA_name</t>
  </si>
  <si>
    <t>PT_SA_age</t>
  </si>
  <si>
    <t>PT_SA_cond_job_search</t>
  </si>
  <si>
    <t>PT_SA_cond_register</t>
  </si>
  <si>
    <t>PT_SA_cond_participation</t>
  </si>
  <si>
    <t>PT_SA_cond_work</t>
  </si>
  <si>
    <t>PT_SA_cond_other</t>
  </si>
  <si>
    <t>PT_SA_cond_family</t>
  </si>
  <si>
    <t>PT_SA_level</t>
  </si>
  <si>
    <t>PT_SA_other</t>
  </si>
  <si>
    <t>PT_SA_means_test_earnings</t>
  </si>
  <si>
    <t>PT_SA_means_test_earnings_withdrawal</t>
  </si>
  <si>
    <t>PT_SA_means_test_assets</t>
  </si>
  <si>
    <t>PT_SA_means_test_other_ben</t>
  </si>
  <si>
    <t>PT_SA_var_age</t>
  </si>
  <si>
    <t>PT_SA_var_contract</t>
  </si>
  <si>
    <t>PT_SA_var_other</t>
  </si>
  <si>
    <t>Minimum age condition for social assistance receipt</t>
  </si>
  <si>
    <t>Legal behavioural requirements</t>
  </si>
  <si>
    <t>Determination of benefit levels</t>
  </si>
  <si>
    <t>Calculation of social assistance benefit:</t>
  </si>
  <si>
    <t>Means-test for social assistance</t>
  </si>
  <si>
    <r>
      <t>Registration as unemployed</t>
    </r>
    <r>
      <rPr>
        <vertAlign val="superscript"/>
        <sz val="9"/>
        <rFont val="Arial"/>
        <family val="2"/>
      </rPr>
      <t>(2)</t>
    </r>
  </si>
  <si>
    <t>Participation in integration measures</t>
  </si>
  <si>
    <r>
      <t>Active job search</t>
    </r>
    <r>
      <rPr>
        <vertAlign val="superscript"/>
        <sz val="9"/>
        <rFont val="Arial"/>
        <family val="2"/>
      </rPr>
      <t>(2)</t>
    </r>
  </si>
  <si>
    <r>
      <t>Work requirement</t>
    </r>
    <r>
      <rPr>
        <vertAlign val="superscript"/>
        <sz val="9"/>
        <rFont val="Arial"/>
        <family val="2"/>
      </rPr>
      <t>(2)</t>
    </r>
  </si>
  <si>
    <t>Other conditions for receipt of benefit (including requirements for conditional cash transfers (CCT))</t>
  </si>
  <si>
    <t>Legal behavioural requirements for adult family members other than the benefit claimant</t>
  </si>
  <si>
    <t>Single</t>
  </si>
  <si>
    <t>Spouse/ partner</t>
  </si>
  <si>
    <t>Per child</t>
  </si>
  <si>
    <t>Child-related payments to lone parent of (per child)</t>
  </si>
  <si>
    <t>Other supplements to basic benefit (per family)</t>
  </si>
  <si>
    <t>Earnings disregards</t>
  </si>
  <si>
    <t>Benefit withdrawal rate with regard to earned income</t>
  </si>
  <si>
    <t>Assets included in means test?</t>
  </si>
  <si>
    <t>Other benefits included in the means test</t>
  </si>
  <si>
    <t>over time</t>
  </si>
  <si>
    <t>[16]</t>
  </si>
  <si>
    <t>[17]</t>
  </si>
  <si>
    <t>[18]</t>
  </si>
  <si>
    <t>[19]</t>
  </si>
  <si>
    <t>[20]</t>
  </si>
  <si>
    <t>[21]</t>
  </si>
  <si>
    <t>[22]</t>
  </si>
  <si>
    <t>Belgium</t>
  </si>
  <si>
    <t>Czech 
Republic</t>
  </si>
  <si>
    <t xml:space="preserve">France </t>
  </si>
  <si>
    <t>Iceland 
(Reykjavik)</t>
  </si>
  <si>
    <t>Japan
(Tokyo)</t>
  </si>
  <si>
    <r>
      <t>New Zealand</t>
    </r>
    <r>
      <rPr>
        <vertAlign val="superscript"/>
        <sz val="9"/>
        <rFont val="Arial"/>
        <family val="2"/>
      </rPr>
      <t>(4)</t>
    </r>
  </si>
  <si>
    <t>Poland</t>
  </si>
  <si>
    <t>Slovak 
Republic</t>
  </si>
  <si>
    <t>Spain 
(Madrid)</t>
  </si>
  <si>
    <t>Switzerland 
(Zurich)</t>
  </si>
  <si>
    <t>United 
Kingdom</t>
  </si>
  <si>
    <r>
      <rPr>
        <i/>
        <sz val="9"/>
        <rFont val="Arial"/>
        <family val="2"/>
      </rPr>
      <t>Newstart Allowance</t>
    </r>
    <r>
      <rPr>
        <sz val="9"/>
        <rFont val="Arial"/>
        <family val="2"/>
      </rPr>
      <t xml:space="preserve"> (NSA), </t>
    </r>
    <r>
      <rPr>
        <i/>
        <sz val="9"/>
        <rFont val="Arial"/>
        <family val="2"/>
      </rPr>
      <t>Youth Allowance</t>
    </r>
    <r>
      <rPr>
        <sz val="9"/>
        <rFont val="Arial"/>
        <family val="2"/>
      </rPr>
      <t xml:space="preserve"> (YA), </t>
    </r>
    <r>
      <rPr>
        <i/>
        <sz val="9"/>
        <rFont val="Arial"/>
        <family val="2"/>
      </rPr>
      <t>Parenting Payment</t>
    </r>
    <r>
      <rPr>
        <sz val="9"/>
        <rFont val="Arial"/>
        <family val="2"/>
      </rPr>
      <t xml:space="preserve"> (couple) with one member caring for a child under six similar to NSA</t>
    </r>
  </si>
  <si>
    <t>Newstart Allowance (NSA) if 22 or older, Youth Allowance (YA) if under 22</t>
  </si>
  <si>
    <t>Yes</t>
  </si>
  <si>
    <t>National</t>
  </si>
  <si>
    <t>Bedarfsorientierte Mindestsicherung</t>
  </si>
  <si>
    <t>Job search requirement</t>
  </si>
  <si>
    <t>All other benefits</t>
  </si>
  <si>
    <r>
      <rPr>
        <i/>
        <sz val="9"/>
        <rFont val="Arial"/>
        <family val="2"/>
      </rPr>
      <t>Revenu de Moyens d'Existence et d'integration</t>
    </r>
    <r>
      <rPr>
        <sz val="9"/>
        <rFont val="Arial"/>
        <family val="2"/>
      </rPr>
      <t xml:space="preserve"> (often referred to as Minimex), </t>
    </r>
    <r>
      <rPr>
        <i/>
        <sz val="9"/>
        <rFont val="Arial"/>
        <family val="2"/>
      </rPr>
      <t xml:space="preserve">Allocation Familiale Garantie </t>
    </r>
    <r>
      <rPr>
        <sz val="9"/>
        <rFont val="Arial"/>
        <family val="2"/>
      </rPr>
      <t>(AFG) for children under 18(25) without entitlement to any other family benefit</t>
    </r>
  </si>
  <si>
    <t>At discretion of Public Centre for Social Assistance (PCSA)</t>
  </si>
  <si>
    <t>All except family benefits</t>
  </si>
  <si>
    <t>Ontario Works</t>
  </si>
  <si>
    <t>Regional</t>
  </si>
  <si>
    <t>Unemployment benefit including family supplements</t>
  </si>
  <si>
    <r>
      <rPr>
        <i/>
        <sz val="9"/>
        <rFont val="Arial"/>
        <family val="2"/>
      </rPr>
      <t>Bono de Proteccion</t>
    </r>
    <r>
      <rPr>
        <sz val="9"/>
        <rFont val="Arial"/>
        <family val="2"/>
      </rPr>
      <t xml:space="preserve"> in the scope of </t>
    </r>
    <r>
      <rPr>
        <i/>
        <sz val="9"/>
        <rFont val="Arial"/>
        <family val="2"/>
      </rPr>
      <t>Ingreso Ético Familiar</t>
    </r>
  </si>
  <si>
    <t>School assistance and health check-up benefits (see next item)</t>
  </si>
  <si>
    <t>G: - decreases over 24 months, no benefits from month 25 on</t>
  </si>
  <si>
    <r>
      <t>School assistance and health check-up benefits for families with children enrolled in Social Assistance (</t>
    </r>
    <r>
      <rPr>
        <i/>
        <sz val="9"/>
        <rFont val="Arial"/>
        <family val="2"/>
      </rPr>
      <t>Ingreso Ético Familiar</t>
    </r>
    <r>
      <rPr>
        <sz val="9"/>
        <rFont val="Arial"/>
        <family val="2"/>
      </rPr>
      <t>)</t>
    </r>
  </si>
  <si>
    <t>Pomoc v hmotné nouzi</t>
  </si>
  <si>
    <t>If requested have to take up short-term employment, participate in public works or public works service</t>
  </si>
  <si>
    <t>Work availablility and job search requirements apply to all members of the household</t>
  </si>
  <si>
    <t xml:space="preserve">Family benefits and 80% of unemployment benefits </t>
  </si>
  <si>
    <t>Kontanthjælp</t>
  </si>
  <si>
    <t>Unemployment benefits</t>
  </si>
  <si>
    <t>Discretionary</t>
  </si>
  <si>
    <t>Toimeentulotuki</t>
  </si>
  <si>
    <t>All other benefits except for (child) disability allowance, pensioner's care allowance, maternity grant, benefits paid when on activation measures</t>
  </si>
  <si>
    <r>
      <t>Social assistance (</t>
    </r>
    <r>
      <rPr>
        <i/>
        <sz val="9"/>
        <rFont val="Arial"/>
        <family val="2"/>
      </rPr>
      <t>Aide Social,  Revenu Solidarité Active</t>
    </r>
    <r>
      <rPr>
        <sz val="9"/>
        <rFont val="Arial"/>
        <family val="2"/>
      </rPr>
      <t xml:space="preserve"> (RSA)), basic (</t>
    </r>
    <r>
      <rPr>
        <i/>
        <sz val="9"/>
        <rFont val="Arial"/>
        <family val="2"/>
      </rPr>
      <t>RSA socle</t>
    </r>
    <r>
      <rPr>
        <sz val="9"/>
        <rFont val="Arial"/>
        <family val="2"/>
      </rPr>
      <t>) and when working (</t>
    </r>
    <r>
      <rPr>
        <i/>
        <sz val="9"/>
        <rFont val="Arial"/>
        <family val="2"/>
      </rPr>
      <t>RSA activité</t>
    </r>
    <r>
      <rPr>
        <sz val="9"/>
        <rFont val="Arial"/>
        <family val="2"/>
      </rPr>
      <t>)</t>
    </r>
  </si>
  <si>
    <t>26 (or less if lone parent)</t>
  </si>
  <si>
    <t>Christmas bonus</t>
  </si>
  <si>
    <t>38% when working on RSA activité, 0% in first three months of new employment (see earnings disregard)</t>
  </si>
  <si>
    <t>Housing and most family benefits</t>
  </si>
  <si>
    <t>Foglalkoztatást helyettesítő támogatás</t>
  </si>
  <si>
    <t>All other except for housing</t>
  </si>
  <si>
    <t>Heimilisuppbót</t>
  </si>
  <si>
    <t>Local</t>
  </si>
  <si>
    <t>Lone parents' benefit, unemployment benefits</t>
  </si>
  <si>
    <t>גמלה להבטחת הכנסה</t>
  </si>
  <si>
    <t>Employment test also applies to claimant's spouse</t>
  </si>
  <si>
    <t>Unemployment insurance</t>
  </si>
  <si>
    <t>生活保護・生活扶助</t>
  </si>
  <si>
    <t>Winter supplementary assistance from November through March; rent assistance if not eligible for emergency housing assistance</t>
  </si>
  <si>
    <t xml:space="preserve">Housing benefit </t>
  </si>
  <si>
    <t xml:space="preserve">No </t>
  </si>
  <si>
    <t>Unemployment benefit, re-employment allowance</t>
  </si>
  <si>
    <t>Revenu minimum garanti</t>
  </si>
  <si>
    <t>25 (except if dependent children)</t>
  </si>
  <si>
    <t>Unemployment benefit (family benefit and school expenses allowance only with regard to expensive life allowance)</t>
  </si>
  <si>
    <t>All except family and individual housing benefits</t>
  </si>
  <si>
    <t>Conditions may be set discretionarily</t>
  </si>
  <si>
    <t>Zasiłek okresowy</t>
  </si>
  <si>
    <t>Housing and heating allowance at discretion of Social assistance centres</t>
  </si>
  <si>
    <t>Rendimento social de inserção</t>
  </si>
  <si>
    <t>The Insertion Programme must be established no later than 60 days after granting the benefit.</t>
  </si>
  <si>
    <t>Family members must comply with Insertion Program, otherwise family loses that person's part of the benefit entitlement</t>
  </si>
  <si>
    <t>Unemployment benefit</t>
  </si>
  <si>
    <t>Dávka v hmotnej núazi a príspevky k dávke v hmotnej núdzi</t>
  </si>
  <si>
    <t>Denarna socialna pomoč</t>
  </si>
  <si>
    <t>All, except home care benefit for parent staying at home</t>
  </si>
  <si>
    <t>Unemployment insurance and assistance benefits</t>
  </si>
  <si>
    <t xml:space="preserve">Ekonomiskt bistånd </t>
  </si>
  <si>
    <t>Rent fully covered</t>
  </si>
  <si>
    <t>Housing costs, allowance for basic medical costs</t>
  </si>
  <si>
    <t>Unemployment insurance and family benefits</t>
  </si>
  <si>
    <t>100%
Benefit fully withdrawn if working 16 or more hours per week</t>
  </si>
  <si>
    <r>
      <rPr>
        <i/>
        <sz val="9"/>
        <rFont val="Arial"/>
        <family val="2"/>
      </rPr>
      <t>Supplemental Nutrition Assistance Program</t>
    </r>
    <r>
      <rPr>
        <sz val="9"/>
        <rFont val="Arial"/>
        <family val="2"/>
      </rPr>
      <t xml:space="preserve"> (SNAP)</t>
    </r>
  </si>
  <si>
    <t>Социално подпомагане - Месечни социални помощи</t>
  </si>
  <si>
    <t>Social assistance recipient of working age must have been registered unemployed for at least six months before filing the application for social support.</t>
  </si>
  <si>
    <t>Social assistance for heating</t>
  </si>
  <si>
    <t>G: + six month waiting period before support received</t>
  </si>
  <si>
    <t>garantētā minimālā ienākuma pabalsts</t>
  </si>
  <si>
    <t>Unemployment benefit, alimony advance payments</t>
  </si>
  <si>
    <t>Social assistance</t>
  </si>
  <si>
    <t>Unemployment insurance and assistance benefit</t>
  </si>
  <si>
    <t>Schema privind venitul minim garantat: ajutorul social pentru asigurarea venitului minim garantat</t>
  </si>
  <si>
    <t>18 (16 for heating allowance)</t>
  </si>
  <si>
    <r>
      <t>Amounts (in % of AW)</t>
    </r>
    <r>
      <rPr>
        <vertAlign val="superscript"/>
        <sz val="9"/>
        <rFont val="Arial"/>
        <family val="2"/>
      </rPr>
      <t>(3)</t>
    </r>
  </si>
  <si>
    <t>2. Conditions for healthy working-age inviduals.</t>
  </si>
  <si>
    <t>4. AUS and NZL: Low-income individuals actively looking for work typically receive means-tested unemployment assistance benefits (UA) of unlimited duration, also see the descriptions in the table on unemployment assistance.</t>
  </si>
  <si>
    <r>
      <t>Cash housing benefits for rented accomodation</t>
    </r>
    <r>
      <rPr>
        <b/>
        <vertAlign val="superscript"/>
        <sz val="14"/>
        <rFont val="Arial"/>
        <family val="2"/>
      </rPr>
      <t>(1)</t>
    </r>
  </si>
  <si>
    <t>PT_HB_name</t>
  </si>
  <si>
    <t>PT_HB_var_household_size</t>
  </si>
  <si>
    <t>PT_HB_var_income</t>
  </si>
  <si>
    <t>PT_HB_var_house_size</t>
  </si>
  <si>
    <t>PT_HB_var_geo</t>
  </si>
  <si>
    <t>PT_HB_var_rental_cost</t>
  </si>
  <si>
    <t>PT_HB_description</t>
  </si>
  <si>
    <t>PT_HB_max_AW</t>
  </si>
  <si>
    <t>PT_HB_other</t>
  </si>
  <si>
    <t>Regular housing benefits</t>
  </si>
  <si>
    <t>Housing related support through other benefits</t>
  </si>
  <si>
    <t>Entitlement depends on</t>
  </si>
  <si>
    <t>Description of regular housing benefit</t>
  </si>
  <si>
    <t>Household type/size</t>
  </si>
  <si>
    <t>Income</t>
  </si>
  <si>
    <t>Dwelling size</t>
  </si>
  <si>
    <t>Geographic location</t>
  </si>
  <si>
    <t>Actual rental cost</t>
  </si>
  <si>
    <r>
      <t>Maximum benefit amount 
in % of AW</t>
    </r>
    <r>
      <rPr>
        <vertAlign val="superscript"/>
        <sz val="9"/>
        <rFont val="Arial"/>
        <family val="2"/>
      </rPr>
      <t>(3)</t>
    </r>
  </si>
  <si>
    <t>Australia</t>
  </si>
  <si>
    <r>
      <t>Austria</t>
    </r>
    <r>
      <rPr>
        <vertAlign val="superscript"/>
        <sz val="9"/>
        <rFont val="Arial"/>
        <family val="2"/>
      </rPr>
      <t>(4)</t>
    </r>
  </si>
  <si>
    <t>Canada</t>
  </si>
  <si>
    <t>No general scheme.</t>
  </si>
  <si>
    <t>Rules and payment rates determined provincially. A shelter allowance is included in the Ontario Works programme (SA) and amounts are determined by household size, income and location.</t>
  </si>
  <si>
    <r>
      <t>Hungary</t>
    </r>
    <r>
      <rPr>
        <vertAlign val="superscript"/>
        <sz val="9"/>
        <rFont val="Arial"/>
        <family val="2"/>
      </rPr>
      <t>(8)</t>
    </r>
  </si>
  <si>
    <r>
      <t>Israel</t>
    </r>
    <r>
      <rPr>
        <vertAlign val="superscript"/>
        <sz val="9"/>
        <rFont val="Arial"/>
        <family val="2"/>
      </rPr>
      <t>(6)</t>
    </r>
  </si>
  <si>
    <t>Italy (Lazio region)</t>
  </si>
  <si>
    <r>
      <t xml:space="preserve">Japan (Tokyo) </t>
    </r>
    <r>
      <rPr>
        <vertAlign val="superscript"/>
        <sz val="9"/>
        <rFont val="Arial"/>
        <family val="2"/>
      </rPr>
      <t>(9)</t>
    </r>
  </si>
  <si>
    <r>
      <t>New Zealand</t>
    </r>
    <r>
      <rPr>
        <vertAlign val="superscript"/>
        <sz val="9"/>
        <rFont val="Arial"/>
        <family val="2"/>
      </rPr>
      <t>(7)</t>
    </r>
  </si>
  <si>
    <t>Norway (Oslo)</t>
  </si>
  <si>
    <t>United States</t>
  </si>
  <si>
    <t>Commonwealth Rent Assistance</t>
  </si>
  <si>
    <t>No general housing benefit</t>
  </si>
  <si>
    <t>No housing benefit in the form of rent subsidy but support for purchasing/building the first home</t>
  </si>
  <si>
    <t>Státní sociální podpora: Příspěvek na bydlení</t>
  </si>
  <si>
    <t>Difference between the maximum reference housing costs and the household's reference income multiplied by a coefficient of 0.3 (0.35 in Prague)</t>
  </si>
  <si>
    <t>Rent supplement for social assistance recipients, young adults rent incentive</t>
  </si>
  <si>
    <t>Boligsikring</t>
  </si>
  <si>
    <t>60% of rent up to a maximum amount minus 18% of income above a threshold that varies according to family size. However, for families without children the benefit can never exceed 15% of the rent</t>
  </si>
  <si>
    <t>Housing allowance under social assistance: families eligible if both spouses on social assistance or unemployment insurance benefits. Tops up regular housing benefit. After 3 months sum of social assistance and housing allowance cannot be higher than unemployment benefit</t>
  </si>
  <si>
    <r>
      <t>Housing benefit provided through subsistence benefit  (</t>
    </r>
    <r>
      <rPr>
        <i/>
        <sz val="9"/>
        <rFont val="Arial"/>
        <family val="2"/>
      </rPr>
      <t>toimetulekutoetus</t>
    </r>
    <r>
      <rPr>
        <sz val="9"/>
        <rFont val="Arial"/>
        <family val="2"/>
      </rPr>
      <t>)</t>
    </r>
  </si>
  <si>
    <t>Yleinen asumistuki</t>
  </si>
  <si>
    <t>80% of (limited) rent above a "deductible amount"; available to families, couples and single people of limited means</t>
  </si>
  <si>
    <t>Rent supplement for social assistance recipients; housing allowance schemes for pensioners and students</t>
  </si>
  <si>
    <r>
      <rPr>
        <i/>
        <sz val="9"/>
        <rFont val="Arial"/>
        <family val="2"/>
      </rPr>
      <t>Aide personnalisé au logement</t>
    </r>
    <r>
      <rPr>
        <sz val="9"/>
        <rFont val="Arial"/>
        <family val="2"/>
      </rPr>
      <t xml:space="preserve"> (APL),</t>
    </r>
    <r>
      <rPr>
        <i/>
        <sz val="9"/>
        <rFont val="Arial"/>
        <family val="2"/>
      </rPr>
      <t xml:space="preserve"> allocation de logement à caractére famlial</t>
    </r>
    <r>
      <rPr>
        <sz val="9"/>
        <rFont val="Arial"/>
        <family val="2"/>
      </rPr>
      <t xml:space="preserve"> (ALF), </t>
    </r>
    <r>
      <rPr>
        <i/>
        <sz val="9"/>
        <rFont val="Arial"/>
        <family val="2"/>
      </rPr>
      <t>allocation de logement de caratère social</t>
    </r>
    <r>
      <rPr>
        <sz val="9"/>
        <rFont val="Arial"/>
        <family val="2"/>
      </rPr>
      <t xml:space="preserve"> (ALS)</t>
    </r>
  </si>
  <si>
    <t xml:space="preserve">Benefit amount equals actual rent up to a maximum amount minus a personal contribution that depends on the rent, income and family size. </t>
  </si>
  <si>
    <t>Wohngeld</t>
  </si>
  <si>
    <t>Benefit given to all households with income below a threshold. Both the maximum rent and the threshold depend on the number of children in the household</t>
  </si>
  <si>
    <t>Various schemes for specific groups: housing allowance paid to tertiary education undergraduates, housing assistance for elderly over 65</t>
  </si>
  <si>
    <t>Lakásfenntartási támogatás</t>
  </si>
  <si>
    <t>Maximum benefit amount depends on household size and is then gradually withdrawn once income per consumption unit exceeds 50% of the minimum old-age pension. Households whose income per consumption unit is more than 250% of the minimum old-age pension do not receive anything</t>
  </si>
  <si>
    <t>Maximum benefit amount dependent on number of children, plus proportion of the rent, or 50% of the actual rent if this is lower. Cannot exceed 50% of actual rent or ISK 50000/month. Reduced by 1% of income above a threshold</t>
  </si>
  <si>
    <t>Rent Supplement as part of social assistance (supplementary welfare allowance scheme)</t>
  </si>
  <si>
    <t>Rent or mortgage interest supplements are normally calculated to ensure that a person, after the payment of rent or mortgage interest (up to a limit), has an income equal to the rate of SWA appropriate to their family circumstances less a weekly minimum contribution payable from their own resources. The weekly minimum contribution is €30 for a single adult household and €35 for couples.</t>
  </si>
  <si>
    <t>Rent subsidies usually are granted whenever household taxable income falls short of twice the amount of the statutory minimum pension and the rent exceeds 14 per cent of this income. Requirements and benefit amounts differ at region and municipal levels. In 2103 government allocated no ressources to the housing fund.</t>
  </si>
  <si>
    <t>Tax credits for low-income renters</t>
  </si>
  <si>
    <t>Emergency housing assistance for unemployed / Rent assistance to social assistance recipients</t>
  </si>
  <si>
    <t xml:space="preserve">Additional amount in social assistance to cover housing cost for renters that varies by household size. </t>
  </si>
  <si>
    <t xml:space="preserve">Additional amount in social assistance equal to the difference between the rent and 10% of the social assistance benefit for the family. </t>
  </si>
  <si>
    <t>Huurtoeslag</t>
  </si>
  <si>
    <t>Accomodation Supplement</t>
  </si>
  <si>
    <t xml:space="preserve">Accommodation Supplement provides assistance towards accommodation costs, including private rent, board and home ownership costs. A person does not have to be receiving another benefit to qualify for Accommodation Supplement. Benefit provides for 70% of accommodation costs above the entry threshold, which depends on the net unemployment benefit they are or would be entitled to, up to a maximum amount which depends on household size and region. The benefit is withdrawn at a rate of 25% of gross income above a threshold that varies by family type. </t>
  </si>
  <si>
    <t>Bostøtte</t>
  </si>
  <si>
    <t>Housing, heating and electricity alllowance for social assistance recipients</t>
  </si>
  <si>
    <t>Dodatki mieszkaniowe</t>
  </si>
  <si>
    <t xml:space="preserve">Benefit based on the difference between what is considered a reasonable payment for a family and actual housing costs. Housing costs cannot exceed a maximum amount, calculated based on the size of the family and the size of the flat. Families are expected to contribute 15% of their housing costs for single person households, 12% for 2-4 person households and 10% for households with 5 or more persons. </t>
  </si>
  <si>
    <t>Depends on dwelling size and actual rent cost</t>
  </si>
  <si>
    <t>For social assistance recipients: Housing and heating allowance at discretion of Social assistance centres</t>
  </si>
  <si>
    <t>Subsídio de lar - Subsídio de renda</t>
  </si>
  <si>
    <t>Rent subsidies  for tenants whose economic situation has experienced severe and sudden deterioration in terms of household income, namely due to unemployment or death of family earner.</t>
  </si>
  <si>
    <t>Subvencija za najemnine</t>
  </si>
  <si>
    <t xml:space="preserve">Housing benefits depends on the claimant’s income and beneficiaries can receive up to 80% of actual rent up to a maximum based on "reasonable" size of dwelling given the size of the household. The benefit is withdrawn at a rate of 70% above the Basic Minimum Income level. </t>
  </si>
  <si>
    <t>Some regions (including Madrid) feater housing benefit schemes. The tax code has a tax credit for housing expenses on a national level.</t>
  </si>
  <si>
    <t>Bostadsbidrag för barnfamiljer med flera</t>
  </si>
  <si>
    <t xml:space="preserve">Total housing costs are divided in brackets. 100% of the first bracket is covered, followed by 50-90% of the next bracket up to a maximum. The benefit amount is reduced by 20% (33%) of income above a threshold for families with (without) children. Subsidy rates and income thresholds depend on family type. </t>
  </si>
  <si>
    <t>Rent fully covered for social assistance recipients</t>
  </si>
  <si>
    <t>No general scheme. Some cantons provide housing benefit to low-income households, elderly or families with children.</t>
  </si>
  <si>
    <t>Housing assistance for social assistance recipients</t>
  </si>
  <si>
    <t>Local Housing Allowance</t>
  </si>
  <si>
    <t>No general federal housing benefit</t>
  </si>
  <si>
    <t>Some support through the tax system via the Low Income Housing Tax programa. Housing assistance for very low income households exists locally in some states.</t>
  </si>
  <si>
    <t>Additional support for those on social assistance. Accommodation costs are compensated up to 50% of the monthly subsistence allowance; higher coverage in case of families that risk separation upon assessment of the social welfare centre</t>
  </si>
  <si>
    <t>Heating supplement (cash or in-kind) for social assistance recipients when heating with wood</t>
  </si>
  <si>
    <t>Benefit is estimated as difference between housing and public utility service costs (up to a maximum amount) minus net income of claimant above the guaraneteed minimum income level</t>
  </si>
  <si>
    <t>Means–tested support to cover expenses for the house heating, cold and hot running water. Calculated as a fraction of the difference between actual cost and the state supported income per family.</t>
  </si>
  <si>
    <t>Rent subsidy</t>
  </si>
  <si>
    <r>
      <t>Part of complementary assistance (</t>
    </r>
    <r>
      <rPr>
        <i/>
        <sz val="10"/>
        <rFont val="Arial"/>
        <family val="2"/>
      </rPr>
      <t>allocation complémentaire</t>
    </r>
    <r>
      <rPr>
        <sz val="10"/>
        <rFont val="Arial"/>
        <family val="2"/>
      </rPr>
      <t>)</t>
    </r>
  </si>
  <si>
    <r>
      <t>Part of livelihood benefit (</t>
    </r>
    <r>
      <rPr>
        <i/>
        <sz val="10"/>
        <rFont val="Arial"/>
        <family val="2"/>
      </rPr>
      <t>기초생활급여</t>
    </r>
    <r>
      <rPr>
        <sz val="10"/>
        <rFont val="Arial"/>
        <family val="2"/>
      </rPr>
      <t>)</t>
    </r>
  </si>
  <si>
    <t>Family and Lone Parent benefits</t>
  </si>
  <si>
    <t>quant table</t>
  </si>
  <si>
    <t>Source look-up value:</t>
  </si>
  <si>
    <t>PT_CB_name</t>
  </si>
  <si>
    <t>PT_CB_type</t>
  </si>
  <si>
    <t>PT_CB_cond_age</t>
  </si>
  <si>
    <t>PT_CB_cond_other</t>
  </si>
  <si>
    <t>see left most column</t>
  </si>
  <si>
    <t>PT_CB_var_age</t>
  </si>
  <si>
    <t>PT_CB_var_children</t>
  </si>
  <si>
    <t>PT_CB_earnings_disreg</t>
  </si>
  <si>
    <t>PT_CB_withdrawal</t>
  </si>
  <si>
    <t>PT_CB_means_assets</t>
  </si>
  <si>
    <t>Program name (local name in parentheses if available)</t>
  </si>
  <si>
    <t>Type of benefit</t>
  </si>
  <si>
    <t>Eligibility criteria</t>
  </si>
  <si>
    <t>Benefit amount</t>
  </si>
  <si>
    <t>Income test or income dependence</t>
  </si>
  <si>
    <t>Age limits for children up to and including (in parentheses if student)</t>
  </si>
  <si>
    <r>
      <t>Maximum benefit for one child aged between 3 and 12 in % of AW</t>
    </r>
    <r>
      <rPr>
        <vertAlign val="superscript"/>
        <sz val="9"/>
        <rFont val="Arial"/>
        <family val="2"/>
      </rPr>
      <t>(3)</t>
    </r>
  </si>
  <si>
    <t>Earnings disregard (annual)</t>
  </si>
  <si>
    <t>Withdrawal rate</t>
  </si>
  <si>
    <t>Assets part of means test?</t>
  </si>
  <si>
    <t>PT_FB1_max_AW</t>
  </si>
  <si>
    <t>PT_FB2_max_AW</t>
  </si>
  <si>
    <t>PT_FB3_max_AW</t>
  </si>
  <si>
    <t>PT_LPB1_max_AW</t>
  </si>
  <si>
    <t>PT_LPB2_max_AW</t>
  </si>
  <si>
    <t>Canada
(Ontario)</t>
  </si>
  <si>
    <t>PT_FB4_max_AW</t>
  </si>
  <si>
    <t>PT_FB5_max_AW</t>
  </si>
  <si>
    <t>PT_FB6_max_AW</t>
  </si>
  <si>
    <t>PT_FB7_max_AW</t>
  </si>
  <si>
    <t>PT_LPB3_max_AW</t>
  </si>
  <si>
    <t>PT_LPB4_max_AW</t>
  </si>
  <si>
    <r>
      <t>Greece</t>
    </r>
    <r>
      <rPr>
        <vertAlign val="superscript"/>
        <sz val="9"/>
        <rFont val="Arial"/>
        <family val="2"/>
      </rPr>
      <t>(5)</t>
    </r>
  </si>
  <si>
    <r>
      <t>Hungary</t>
    </r>
    <r>
      <rPr>
        <vertAlign val="superscript"/>
        <sz val="9"/>
        <rFont val="Arial"/>
        <family val="2"/>
      </rPr>
      <t>(6)</t>
    </r>
  </si>
  <si>
    <r>
      <t>Ireland</t>
    </r>
    <r>
      <rPr>
        <vertAlign val="superscript"/>
        <sz val="9"/>
        <rFont val="Arial"/>
        <family val="2"/>
      </rPr>
      <t>(7)</t>
    </r>
  </si>
  <si>
    <r>
      <t>Israel</t>
    </r>
    <r>
      <rPr>
        <vertAlign val="superscript"/>
        <sz val="9"/>
        <rFont val="Arial"/>
        <family val="2"/>
      </rPr>
      <t>(8)</t>
    </r>
  </si>
  <si>
    <r>
      <t>Netherlands</t>
    </r>
    <r>
      <rPr>
        <vertAlign val="superscript"/>
        <sz val="9"/>
        <rFont val="Arial"/>
        <family val="2"/>
      </rPr>
      <t>(9)</t>
    </r>
  </si>
  <si>
    <t>New 
Zealand</t>
  </si>
  <si>
    <t>PT_LPB5_max_AW</t>
  </si>
  <si>
    <t>Switzerland (Zurich)</t>
  </si>
  <si>
    <r>
      <t>United 
States
(Michigan)</t>
    </r>
    <r>
      <rPr>
        <vertAlign val="superscript"/>
        <sz val="9"/>
        <rFont val="Arial"/>
        <family val="2"/>
      </rPr>
      <t>(10)</t>
    </r>
  </si>
  <si>
    <t>Age of child (+: more for older children, -: less for older children, 0: no difference by age)</t>
  </si>
  <si>
    <t>Per-child benefit amount varies with:</t>
  </si>
  <si>
    <t xml:space="preserve">Number of children (+: per-child amount increases with number of children, 0: same amount for each child, -: per-child amount decreases with number of children, --: no change in total amount by family size). </t>
  </si>
  <si>
    <t>Family Tax Benefit Part A</t>
  </si>
  <si>
    <t>Targeted</t>
  </si>
  <si>
    <t>+</t>
  </si>
  <si>
    <t>Schoolkids Bonus</t>
  </si>
  <si>
    <t>Must be in receipt of FTBA</t>
  </si>
  <si>
    <t>If family receives FTB Part A, flat rate bonus is given.</t>
  </si>
  <si>
    <t>Family Tax Benefit Part B</t>
  </si>
  <si>
    <t>Parenting Payment (single)</t>
  </si>
  <si>
    <t>Universal</t>
  </si>
  <si>
    <t>18 (24)</t>
  </si>
  <si>
    <r>
      <t>School Bonus (</t>
    </r>
    <r>
      <rPr>
        <i/>
        <sz val="9"/>
        <rFont val="Arial"/>
        <family val="2"/>
      </rPr>
      <t>Schulstartgeld</t>
    </r>
    <r>
      <rPr>
        <sz val="9"/>
        <rFont val="Arial"/>
        <family val="2"/>
      </rPr>
      <t>)</t>
    </r>
  </si>
  <si>
    <r>
      <t>Children's tax credit (</t>
    </r>
    <r>
      <rPr>
        <i/>
        <sz val="9"/>
        <rFont val="Arial"/>
        <family val="2"/>
      </rPr>
      <t>Kinderabsetzbetrag</t>
    </r>
    <r>
      <rPr>
        <sz val="9"/>
        <rFont val="Arial"/>
        <family val="2"/>
      </rPr>
      <t>)</t>
    </r>
  </si>
  <si>
    <r>
      <t>Family benefit (</t>
    </r>
    <r>
      <rPr>
        <i/>
        <sz val="9"/>
        <rFont val="Arial"/>
        <family val="2"/>
      </rPr>
      <t>Allocation familiale</t>
    </r>
    <r>
      <rPr>
        <sz val="9"/>
        <rFont val="Arial"/>
        <family val="2"/>
      </rPr>
      <t>)</t>
    </r>
  </si>
  <si>
    <t>17 (24)</t>
  </si>
  <si>
    <t>Lone parent supplement to family benefit</t>
  </si>
  <si>
    <r>
      <t>Lone parent child care benefit (</t>
    </r>
    <r>
      <rPr>
        <i/>
        <sz val="9"/>
        <rFont val="Arial"/>
        <family val="2"/>
      </rPr>
      <t>Complément de garde d'enfant</t>
    </r>
    <r>
      <rPr>
        <sz val="9"/>
        <rFont val="Arial"/>
        <family val="2"/>
      </rPr>
      <t>)</t>
    </r>
  </si>
  <si>
    <r>
      <t>Family benefit on the federal level (</t>
    </r>
    <r>
      <rPr>
        <i/>
        <sz val="9"/>
        <rFont val="Arial"/>
        <family val="2"/>
      </rPr>
      <t xml:space="preserve">Canada Child Tax Benefit </t>
    </r>
    <r>
      <rPr>
        <sz val="9"/>
        <rFont val="Arial"/>
        <family val="2"/>
      </rPr>
      <t>(CCTB))</t>
    </r>
  </si>
  <si>
    <t>Targeted non-wastable tax credit</t>
  </si>
  <si>
    <r>
      <t>Family benefit on the federal level (</t>
    </r>
    <r>
      <rPr>
        <i/>
        <sz val="9"/>
        <rFont val="Arial"/>
        <family val="2"/>
      </rPr>
      <t>National Child Benefit (NCB) Supplement</t>
    </r>
    <r>
      <rPr>
        <sz val="9"/>
        <rFont val="Arial"/>
        <family val="2"/>
      </rPr>
      <t>)</t>
    </r>
  </si>
  <si>
    <r>
      <rPr>
        <i/>
        <sz val="9"/>
        <rFont val="Arial"/>
        <family val="2"/>
      </rPr>
      <t>Working Income Tax Benefit</t>
    </r>
    <r>
      <rPr>
        <sz val="9"/>
        <rFont val="Arial"/>
        <family val="2"/>
      </rPr>
      <t xml:space="preserve"> (WITB)</t>
    </r>
  </si>
  <si>
    <r>
      <t>Family benefit on the regional level (</t>
    </r>
    <r>
      <rPr>
        <i/>
        <sz val="9"/>
        <rFont val="Arial"/>
        <family val="2"/>
      </rPr>
      <t>Ontario Child Benefit</t>
    </r>
    <r>
      <rPr>
        <sz val="9"/>
        <rFont val="Arial"/>
        <family val="2"/>
      </rPr>
      <t xml:space="preserve"> (OCB))</t>
    </r>
  </si>
  <si>
    <r>
      <rPr>
        <i/>
        <sz val="9"/>
        <rFont val="Arial"/>
        <family val="2"/>
      </rPr>
      <t>Ontario Child Care Supplement</t>
    </r>
    <r>
      <rPr>
        <sz val="9"/>
        <rFont val="Arial"/>
        <family val="2"/>
      </rPr>
      <t xml:space="preserve"> for Working Families (OCCS)</t>
    </r>
  </si>
  <si>
    <t>Ontario Sales Tax Credit</t>
  </si>
  <si>
    <t>Goods and Services Tax Credit</t>
  </si>
  <si>
    <r>
      <t xml:space="preserve">Increase in </t>
    </r>
    <r>
      <rPr>
        <i/>
        <sz val="9"/>
        <rFont val="Arial"/>
        <family val="2"/>
      </rPr>
      <t xml:space="preserve">Goods and Services Tax Credit </t>
    </r>
    <r>
      <rPr>
        <sz val="9"/>
        <rFont val="Arial"/>
        <family val="2"/>
      </rPr>
      <t>for lone parents</t>
    </r>
  </si>
  <si>
    <r>
      <rPr>
        <i/>
        <sz val="9"/>
        <rFont val="Arial"/>
        <family val="2"/>
      </rPr>
      <t>Eligible Dependant Tax Credit</t>
    </r>
    <r>
      <rPr>
        <sz val="9"/>
        <rFont val="Arial"/>
        <family val="2"/>
      </rPr>
      <t xml:space="preserve"> (federal)</t>
    </r>
  </si>
  <si>
    <r>
      <t xml:space="preserve">Lone parent supplement to </t>
    </r>
    <r>
      <rPr>
        <i/>
        <sz val="9"/>
        <rFont val="Arial"/>
        <family val="2"/>
      </rPr>
      <t>Ontario Child Care Supplement</t>
    </r>
    <r>
      <rPr>
        <sz val="9"/>
        <rFont val="Arial"/>
        <family val="2"/>
      </rPr>
      <t xml:space="preserve"> for Working Families (OCCS)</t>
    </r>
  </si>
  <si>
    <r>
      <rPr>
        <i/>
        <sz val="9"/>
        <rFont val="Arial"/>
        <family val="2"/>
      </rPr>
      <t>Eligible Dependant Tax Credit</t>
    </r>
    <r>
      <rPr>
        <sz val="9"/>
        <rFont val="Arial"/>
        <family val="2"/>
      </rPr>
      <t xml:space="preserve"> (Ontario)</t>
    </r>
  </si>
  <si>
    <t>Wastable tax credit</t>
  </si>
  <si>
    <t>Family allowance</t>
  </si>
  <si>
    <t>17 (23)</t>
  </si>
  <si>
    <t>Three different benefits decreasing with three income brackets, fully withdrawn at 91% of AW</t>
  </si>
  <si>
    <r>
      <t>Child benefit for low-income children (</t>
    </r>
    <r>
      <rPr>
        <i/>
        <sz val="9"/>
        <rFont val="Arial"/>
        <family val="2"/>
      </rPr>
      <t>Subsidio Familiar</t>
    </r>
    <r>
      <rPr>
        <sz val="9"/>
        <rFont val="Arial"/>
        <family val="2"/>
      </rPr>
      <t xml:space="preserve">) in the scope of </t>
    </r>
    <r>
      <rPr>
        <i/>
        <sz val="9"/>
        <rFont val="Arial"/>
        <family val="2"/>
      </rPr>
      <t>Chile Soldario</t>
    </r>
  </si>
  <si>
    <t>Child allowance</t>
  </si>
  <si>
    <t>14 (25)</t>
  </si>
  <si>
    <t>2.4 times living minimum (varies by family size)</t>
  </si>
  <si>
    <t>-</t>
  </si>
  <si>
    <r>
      <t>Child allowance (</t>
    </r>
    <r>
      <rPr>
        <i/>
        <sz val="9"/>
        <rFont val="Arial"/>
        <family val="2"/>
      </rPr>
      <t>lapsetoetus</t>
    </r>
    <r>
      <rPr>
        <sz val="9"/>
        <rFont val="Arial"/>
        <family val="2"/>
      </rPr>
      <t>)</t>
    </r>
  </si>
  <si>
    <t>15 (18)</t>
  </si>
  <si>
    <r>
      <t>Lone parent supplement to child allowance (</t>
    </r>
    <r>
      <rPr>
        <i/>
        <sz val="9"/>
        <rFont val="Arial"/>
        <family val="2"/>
      </rPr>
      <t>lapsetoetus</t>
    </r>
    <r>
      <rPr>
        <sz val="9"/>
        <rFont val="Arial"/>
        <family val="2"/>
      </rPr>
      <t>)</t>
    </r>
  </si>
  <si>
    <t>Absent parent does not pay alimony</t>
  </si>
  <si>
    <r>
      <t>Family benefit (</t>
    </r>
    <r>
      <rPr>
        <i/>
        <sz val="9"/>
        <rFont val="Arial"/>
        <family val="2"/>
      </rPr>
      <t>lapsilisä</t>
    </r>
    <r>
      <rPr>
        <sz val="9"/>
        <rFont val="Arial"/>
        <family val="2"/>
      </rPr>
      <t>)</t>
    </r>
  </si>
  <si>
    <r>
      <t>Lone parent supplement to family benefit (</t>
    </r>
    <r>
      <rPr>
        <i/>
        <sz val="9"/>
        <rFont val="Arial"/>
        <family val="2"/>
      </rPr>
      <t>lapsilisä</t>
    </r>
    <r>
      <rPr>
        <sz val="9"/>
        <rFont val="Arial"/>
        <family val="2"/>
      </rPr>
      <t>)</t>
    </r>
  </si>
  <si>
    <r>
      <t>General family benefit (</t>
    </r>
    <r>
      <rPr>
        <i/>
        <sz val="9"/>
        <rFont val="Arial"/>
        <family val="2"/>
      </rPr>
      <t>Allocations Familiales</t>
    </r>
    <r>
      <rPr>
        <sz val="9"/>
        <rFont val="Arial"/>
        <family val="2"/>
      </rPr>
      <t xml:space="preserve"> (AF))</t>
    </r>
  </si>
  <si>
    <r>
      <t>Young child benefit (</t>
    </r>
    <r>
      <rPr>
        <i/>
        <sz val="9"/>
        <rFont val="Arial"/>
        <family val="2"/>
      </rPr>
      <t xml:space="preserve">Prestation d'accueil du jeune enfant </t>
    </r>
    <r>
      <rPr>
        <sz val="9"/>
        <rFont val="Arial"/>
        <family val="2"/>
      </rPr>
      <t>(PAJE))</t>
    </r>
  </si>
  <si>
    <t>Varies by family size</t>
  </si>
  <si>
    <r>
      <t>Large family allowance (</t>
    </r>
    <r>
      <rPr>
        <i/>
        <sz val="9"/>
        <rFont val="Arial"/>
        <family val="2"/>
      </rPr>
      <t>Complément Familiale</t>
    </r>
    <r>
      <rPr>
        <sz val="9"/>
        <rFont val="Arial"/>
        <family val="2"/>
      </rPr>
      <t xml:space="preserve"> (CF))</t>
    </r>
  </si>
  <si>
    <r>
      <t>School allowance (</t>
    </r>
    <r>
      <rPr>
        <i/>
        <sz val="9"/>
        <rFont val="Arial"/>
        <family val="2"/>
      </rPr>
      <t>Allocation Rentrée Scolaire</t>
    </r>
    <r>
      <rPr>
        <sz val="9"/>
        <rFont val="Arial"/>
        <family val="2"/>
      </rPr>
      <t xml:space="preserve"> (ARS))</t>
    </r>
  </si>
  <si>
    <r>
      <t>Per child supplement to non-wastable tax credit for working low-income families (</t>
    </r>
    <r>
      <rPr>
        <i/>
        <sz val="9"/>
        <rFont val="Arial"/>
        <family val="2"/>
      </rPr>
      <t>Prime pour l'Emploi</t>
    </r>
    <r>
      <rPr>
        <sz val="9"/>
        <rFont val="Arial"/>
        <family val="2"/>
      </rPr>
      <t xml:space="preserve"> (PPE))</t>
    </r>
  </si>
  <si>
    <t>20 (24)</t>
  </si>
  <si>
    <r>
      <t>Lone parent benefit (</t>
    </r>
    <r>
      <rPr>
        <i/>
        <sz val="9"/>
        <rFont val="Arial"/>
        <family val="2"/>
      </rPr>
      <t>Allocation Soutien Familiale</t>
    </r>
    <r>
      <rPr>
        <sz val="9"/>
        <rFont val="Arial"/>
        <family val="2"/>
      </rPr>
      <t xml:space="preserve"> (ASF))</t>
    </r>
  </si>
  <si>
    <t>18 (25)</t>
  </si>
  <si>
    <r>
      <t>Supplementary child allowance (</t>
    </r>
    <r>
      <rPr>
        <i/>
        <sz val="9"/>
        <rFont val="Arial"/>
        <family val="2"/>
      </rPr>
      <t>Kinderzuschlag</t>
    </r>
    <r>
      <rPr>
        <sz val="9"/>
        <rFont val="Arial"/>
        <family val="2"/>
      </rPr>
      <t>)</t>
    </r>
  </si>
  <si>
    <r>
      <t>Education and participation package (</t>
    </r>
    <r>
      <rPr>
        <i/>
        <sz val="9"/>
        <rFont val="Arial"/>
        <family val="2"/>
      </rPr>
      <t>Bildungspaket</t>
    </r>
    <r>
      <rPr>
        <sz val="9"/>
        <rFont val="Arial"/>
        <family val="2"/>
      </rPr>
      <t>)</t>
    </r>
  </si>
  <si>
    <t>Family receives unemployment benefit II</t>
  </si>
  <si>
    <t>15 (23)</t>
  </si>
  <si>
    <r>
      <t>Low income support for families with children in compulsory education (</t>
    </r>
    <r>
      <rPr>
        <i/>
        <sz val="9"/>
        <rFont val="Arial"/>
        <family val="2"/>
      </rPr>
      <t>σχολικό επίδομα</t>
    </r>
    <r>
      <rPr>
        <sz val="9"/>
        <rFont val="Arial"/>
        <family val="2"/>
      </rPr>
      <t>)</t>
    </r>
  </si>
  <si>
    <r>
      <t>Additional family benefit for large families (3 or more children) (</t>
    </r>
    <r>
      <rPr>
        <i/>
        <sz val="9"/>
        <rFont val="Arial"/>
        <family val="2"/>
      </rPr>
      <t>πολυτεκνικό επίδομα</t>
    </r>
    <r>
      <rPr>
        <sz val="9"/>
        <rFont val="Arial"/>
        <family val="2"/>
      </rPr>
      <t>)</t>
    </r>
  </si>
  <si>
    <r>
      <t>Alimony replacement benefit (Support for unprotected children benefit) for lone parent (</t>
    </r>
    <r>
      <rPr>
        <i/>
        <sz val="9"/>
        <rFont val="Arial"/>
        <family val="2"/>
      </rPr>
      <t>επίδομα απροστάτευτων παιδιών</t>
    </r>
    <r>
      <rPr>
        <sz val="9"/>
        <rFont val="Arial"/>
        <family val="2"/>
      </rPr>
      <t>)</t>
    </r>
  </si>
  <si>
    <t>Non recognized children born out of marriage</t>
  </si>
  <si>
    <r>
      <t>Family allowance (</t>
    </r>
    <r>
      <rPr>
        <i/>
        <sz val="9"/>
        <rFont val="Arial"/>
        <family val="2"/>
      </rPr>
      <t>Családi pótlék</t>
    </r>
    <r>
      <rPr>
        <sz val="9"/>
        <rFont val="Arial"/>
        <family val="2"/>
      </rPr>
      <t>)</t>
    </r>
  </si>
  <si>
    <t>18 (23)</t>
  </si>
  <si>
    <r>
      <t>Child tax allowance (</t>
    </r>
    <r>
      <rPr>
        <i/>
        <sz val="9"/>
        <rFont val="Arial"/>
        <family val="2"/>
      </rPr>
      <t>családi adókedvezmény</t>
    </r>
    <r>
      <rPr>
        <sz val="9"/>
        <rFont val="Arial"/>
        <family val="2"/>
      </rPr>
      <t>)</t>
    </r>
  </si>
  <si>
    <r>
      <t>Subsidized meals through child protection allowance (</t>
    </r>
    <r>
      <rPr>
        <i/>
        <sz val="9"/>
        <rFont val="Arial"/>
        <family val="2"/>
      </rPr>
      <t>étkezési támogatás</t>
    </r>
    <r>
      <rPr>
        <sz val="9"/>
        <rFont val="Arial"/>
        <family val="2"/>
      </rPr>
      <t>)</t>
    </r>
  </si>
  <si>
    <r>
      <t>Supplement to Family allowance (</t>
    </r>
    <r>
      <rPr>
        <i/>
        <sz val="9"/>
        <rFont val="Arial"/>
        <family val="2"/>
      </rPr>
      <t>Családi pótlék</t>
    </r>
    <r>
      <rPr>
        <sz val="9"/>
        <rFont val="Arial"/>
        <family val="2"/>
      </rPr>
      <t>)</t>
    </r>
  </si>
  <si>
    <r>
      <t>Family benefit (</t>
    </r>
    <r>
      <rPr>
        <i/>
        <sz val="9"/>
        <rFont val="Arial"/>
        <family val="2"/>
      </rPr>
      <t>barnabætur</t>
    </r>
    <r>
      <rPr>
        <sz val="9"/>
        <rFont val="Arial"/>
        <family val="2"/>
      </rPr>
      <t>)</t>
    </r>
  </si>
  <si>
    <r>
      <t>Supplement to Family benefit (</t>
    </r>
    <r>
      <rPr>
        <i/>
        <sz val="9"/>
        <rFont val="Arial"/>
        <family val="2"/>
      </rPr>
      <t>barnabætur</t>
    </r>
    <r>
      <rPr>
        <sz val="9"/>
        <rFont val="Arial"/>
        <family val="2"/>
      </rPr>
      <t>) for lone parents</t>
    </r>
  </si>
  <si>
    <t>Lone parent</t>
  </si>
  <si>
    <t>Lone parent mother/fatherhood allowance</t>
  </si>
  <si>
    <t>Child benefit</t>
  </si>
  <si>
    <t>15 (17)</t>
  </si>
  <si>
    <r>
      <rPr>
        <i/>
        <sz val="9"/>
        <rFont val="Arial"/>
        <family val="2"/>
      </rPr>
      <t>One-parent family payment</t>
    </r>
    <r>
      <rPr>
        <sz val="9"/>
        <rFont val="Arial"/>
        <family val="2"/>
      </rPr>
      <t xml:space="preserve"> (OFP)</t>
    </r>
  </si>
  <si>
    <t>Single-Parent Family Relief</t>
  </si>
  <si>
    <t>Targeted wastable tax credit</t>
  </si>
  <si>
    <t>Preferential income tax schedule for lone parents</t>
  </si>
  <si>
    <t>Families with at least 3 children that receive subsistence benefit (for example income support or alimony payments)</t>
  </si>
  <si>
    <t>Child tax allowance</t>
  </si>
  <si>
    <t>Parents with work income or on unemployment insurance benefit</t>
  </si>
  <si>
    <t>Earned income tax credit for parents</t>
  </si>
  <si>
    <t>Varies by number of children and income</t>
  </si>
  <si>
    <r>
      <t>Child benefit (</t>
    </r>
    <r>
      <rPr>
        <i/>
        <sz val="9"/>
        <rFont val="Arial"/>
        <family val="2"/>
      </rPr>
      <t>Assegno per il nucleo Familiare</t>
    </r>
    <r>
      <rPr>
        <sz val="9"/>
        <rFont val="Arial"/>
        <family val="2"/>
      </rPr>
      <t>)</t>
    </r>
  </si>
  <si>
    <t>17 (20)</t>
  </si>
  <si>
    <t>At least 70% of parents' earnings must derive from employed work or unemployment or employment pension benefits), reduced in proportion of days not worked if working &lt;24 hours</t>
  </si>
  <si>
    <t>Banded by family size and income</t>
  </si>
  <si>
    <r>
      <t>Large family allowance (</t>
    </r>
    <r>
      <rPr>
        <i/>
        <sz val="9"/>
        <rFont val="Arial"/>
        <family val="2"/>
      </rPr>
      <t>Assegno di sostegno per nuclei
familiari con almeno tre figli minori</t>
    </r>
    <r>
      <rPr>
        <sz val="9"/>
        <rFont val="Arial"/>
        <family val="2"/>
      </rPr>
      <t>)</t>
    </r>
  </si>
  <si>
    <t>Child tax credit</t>
  </si>
  <si>
    <t>Large family child tax credit</t>
  </si>
  <si>
    <t>Family benefit</t>
  </si>
  <si>
    <t>See social assistance table</t>
  </si>
  <si>
    <t>Lone parent benefit</t>
  </si>
  <si>
    <t>Tax allowance</t>
  </si>
  <si>
    <t>Child rearing support (CRS), Additional child-rearing support subsidy (ACRS), Child education support subsidy (CES) for lone parents</t>
  </si>
  <si>
    <t>11 (CRS), 4 (ACRS), enrolled in middle or high school (CES)</t>
  </si>
  <si>
    <r>
      <t>Family benefit (</t>
    </r>
    <r>
      <rPr>
        <i/>
        <sz val="9"/>
        <rFont val="Arial"/>
        <family val="2"/>
      </rPr>
      <t>Allocations familiales</t>
    </r>
    <r>
      <rPr>
        <sz val="9"/>
        <rFont val="Arial"/>
        <family val="2"/>
      </rPr>
      <t>)</t>
    </r>
  </si>
  <si>
    <t>17 (26)</t>
  </si>
  <si>
    <r>
      <t>School expenses allowance (</t>
    </r>
    <r>
      <rPr>
        <i/>
        <sz val="9"/>
        <rFont val="Arial"/>
        <family val="2"/>
      </rPr>
      <t>Allocation rentrée scolaire</t>
    </r>
    <r>
      <rPr>
        <sz val="9"/>
        <rFont val="Arial"/>
        <family val="2"/>
      </rPr>
      <t>)</t>
    </r>
  </si>
  <si>
    <r>
      <t>Child bonus (</t>
    </r>
    <r>
      <rPr>
        <i/>
        <sz val="9"/>
        <rFont val="Arial"/>
        <family val="2"/>
      </rPr>
      <t>Boni pour enfant</t>
    </r>
    <r>
      <rPr>
        <sz val="9"/>
        <rFont val="Arial"/>
        <family val="2"/>
      </rPr>
      <t>)</t>
    </r>
  </si>
  <si>
    <t>Lone parent wastable tax credit</t>
  </si>
  <si>
    <t>Lower tax rates</t>
  </si>
  <si>
    <t>Family tax credit</t>
  </si>
  <si>
    <t>Minimum family tax credit</t>
  </si>
  <si>
    <t>Lone parent: work at least 20 hours per week; two-parent family: combined 30 hours</t>
  </si>
  <si>
    <t>In work tax credit</t>
  </si>
  <si>
    <t>Combined means test with Family Tax credit, withdrawal begins once Family Tax credit entitlement reduced to zero</t>
  </si>
  <si>
    <t>Additional basic tax credit for lone parents</t>
  </si>
  <si>
    <r>
      <t>Family benefit (</t>
    </r>
    <r>
      <rPr>
        <i/>
        <sz val="9"/>
        <rFont val="Arial"/>
        <family val="2"/>
      </rPr>
      <t>Abono de família para crianças e jovens</t>
    </r>
    <r>
      <rPr>
        <sz val="9"/>
        <rFont val="Arial"/>
        <family val="2"/>
      </rPr>
      <t>)</t>
    </r>
  </si>
  <si>
    <r>
      <t>Additional family benefit (</t>
    </r>
    <r>
      <rPr>
        <i/>
        <sz val="9"/>
        <rFont val="Arial"/>
        <family val="2"/>
      </rPr>
      <t>Abono de família para crianças e jovens</t>
    </r>
    <r>
      <rPr>
        <sz val="9"/>
        <rFont val="Arial"/>
        <family val="2"/>
      </rPr>
      <t>) for lone parents</t>
    </r>
  </si>
  <si>
    <r>
      <t>Child allowance (</t>
    </r>
    <r>
      <rPr>
        <i/>
        <sz val="9"/>
        <rFont val="Arial"/>
        <family val="2"/>
      </rPr>
      <t>Prídavok na dieťa</t>
    </r>
    <r>
      <rPr>
        <sz val="9"/>
        <rFont val="Arial"/>
        <family val="2"/>
      </rPr>
      <t>)</t>
    </r>
  </si>
  <si>
    <t>Non-wastable tax credit</t>
  </si>
  <si>
    <t>Alimony replacement benefit</t>
  </si>
  <si>
    <t>2.2 times the subsistence minimum (varies by family size)</t>
  </si>
  <si>
    <r>
      <t>Family benefit (</t>
    </r>
    <r>
      <rPr>
        <i/>
        <sz val="9"/>
        <rFont val="Arial"/>
        <family val="2"/>
      </rPr>
      <t>otroški dodatek</t>
    </r>
    <r>
      <rPr>
        <sz val="9"/>
        <rFont val="Arial"/>
        <family val="2"/>
      </rPr>
      <t>)</t>
    </r>
  </si>
  <si>
    <t>17 (25)</t>
  </si>
  <si>
    <r>
      <t>Large family allowance (</t>
    </r>
    <r>
      <rPr>
        <i/>
        <sz val="9"/>
        <rFont val="Arial"/>
        <family val="2"/>
      </rPr>
      <t>dodatek za veliko družino</t>
    </r>
    <r>
      <rPr>
        <sz val="9"/>
        <rFont val="Arial"/>
        <family val="2"/>
      </rPr>
      <t>)</t>
    </r>
  </si>
  <si>
    <t>Tax allowance for children</t>
  </si>
  <si>
    <r>
      <t>Supplement to social assistance (</t>
    </r>
    <r>
      <rPr>
        <i/>
        <sz val="9"/>
        <rFont val="Arial"/>
        <family val="2"/>
      </rPr>
      <t>Denarna socialna pomoč</t>
    </r>
    <r>
      <rPr>
        <sz val="9"/>
        <rFont val="Arial"/>
        <family val="2"/>
      </rPr>
      <t>) for lone parents</t>
    </r>
  </si>
  <si>
    <r>
      <t>Supplement to family benefit (</t>
    </r>
    <r>
      <rPr>
        <i/>
        <sz val="9"/>
        <rFont val="Arial"/>
        <family val="2"/>
      </rPr>
      <t>otroški dodatek</t>
    </r>
    <r>
      <rPr>
        <sz val="9"/>
        <rFont val="Arial"/>
        <family val="2"/>
      </rPr>
      <t>) for lone parents</t>
    </r>
  </si>
  <si>
    <r>
      <t>Family allowance (</t>
    </r>
    <r>
      <rPr>
        <i/>
        <sz val="9"/>
        <rFont val="Arial"/>
        <family val="2"/>
      </rPr>
      <t>Prestación por hijo a cargo no contributiva</t>
    </r>
    <r>
      <rPr>
        <sz val="9"/>
        <rFont val="Arial"/>
        <family val="2"/>
      </rPr>
      <t>)</t>
    </r>
  </si>
  <si>
    <t>15 (19)</t>
  </si>
  <si>
    <t>15 (24)</t>
  </si>
  <si>
    <t>Parents must be working or receiving unemployment benefit</t>
  </si>
  <si>
    <r>
      <rPr>
        <i/>
        <sz val="9"/>
        <rFont val="Arial"/>
        <family val="2"/>
      </rPr>
      <t>Temporary Assistance for Needy Families</t>
    </r>
    <r>
      <rPr>
        <sz val="9"/>
        <rFont val="Arial"/>
        <family val="2"/>
      </rPr>
      <t xml:space="preserve"> (TANF)</t>
    </r>
  </si>
  <si>
    <t>18 (19)</t>
  </si>
  <si>
    <r>
      <rPr>
        <i/>
        <sz val="9"/>
        <rFont val="Arial"/>
        <family val="2"/>
      </rPr>
      <t>Earned Income Tax Credit</t>
    </r>
    <r>
      <rPr>
        <sz val="9"/>
        <rFont val="Arial"/>
        <family val="2"/>
      </rPr>
      <t xml:space="preserve"> (EITC)</t>
    </r>
  </si>
  <si>
    <t>Working parent(s)</t>
  </si>
  <si>
    <t xml:space="preserve">Tax allowance </t>
  </si>
  <si>
    <t>Child credit</t>
  </si>
  <si>
    <t>Targeted tax credit, partly non-wastable</t>
  </si>
  <si>
    <t>First grade pupils</t>
  </si>
  <si>
    <t>Alimony advance payment</t>
  </si>
  <si>
    <t>Absent parent does not pay child support/alimony</t>
  </si>
  <si>
    <r>
      <t>Family benefit (</t>
    </r>
    <r>
      <rPr>
        <i/>
        <sz val="9"/>
        <rFont val="Arial"/>
        <family val="2"/>
      </rPr>
      <t>doplatak za djecu</t>
    </r>
    <r>
      <rPr>
        <sz val="9"/>
        <rFont val="Arial"/>
        <family val="2"/>
      </rPr>
      <t>)</t>
    </r>
  </si>
  <si>
    <t>14 (18)</t>
  </si>
  <si>
    <r>
      <t>Family benefit (</t>
    </r>
    <r>
      <rPr>
        <i/>
        <sz val="9"/>
        <rFont val="Arial"/>
        <family val="2"/>
      </rPr>
      <t>ģimenes valsts pabalsts</t>
    </r>
    <r>
      <rPr>
        <sz val="9"/>
        <rFont val="Arial"/>
        <family val="2"/>
      </rPr>
      <t>)</t>
    </r>
  </si>
  <si>
    <t>Paid under the decision of the court if absent parent does not pay child support</t>
  </si>
  <si>
    <t xml:space="preserve">n.a. </t>
  </si>
  <si>
    <t>Child allowance (universal rate)</t>
  </si>
  <si>
    <t>Child allowance (targeted rate)</t>
  </si>
  <si>
    <t>Varies by family size: 6% for each child aged under 16 plus 2% for each child aged 16-20</t>
  </si>
  <si>
    <t>Social assistance for lone parents</t>
  </si>
  <si>
    <t>-  for second and third child, then 0</t>
  </si>
  <si>
    <t>Lone parent with at least 2 children</t>
  </si>
  <si>
    <t>- for second, 0 from third child on</t>
  </si>
  <si>
    <t>Child Tax Credit</t>
  </si>
  <si>
    <t>0, with more than 3 children supplemental non-wastable child credit may be claimed</t>
  </si>
  <si>
    <t>0, + from third child on</t>
  </si>
  <si>
    <t>*</t>
  </si>
  <si>
    <t>0 up till fourth child, then --</t>
  </si>
  <si>
    <t>Type of employment-conditional benefit</t>
  </si>
  <si>
    <t>Beneficiaries of employment-conditional benefit</t>
  </si>
  <si>
    <t>Eligibility and calculation criteria</t>
  </si>
  <si>
    <t>Time dependency of employment-conditional benefit</t>
  </si>
  <si>
    <t>Child-based condition</t>
  </si>
  <si>
    <t>Influence of number of children on benefit amount</t>
  </si>
  <si>
    <t>Working hour criterion</t>
  </si>
  <si>
    <t>Transition criterion</t>
  </si>
  <si>
    <t>Minimum earnings criterion for eligbility</t>
  </si>
  <si>
    <t>(Maximum) benefit amount</t>
  </si>
  <si>
    <t>Phase-in rate</t>
  </si>
  <si>
    <t>Phase-out rate</t>
  </si>
  <si>
    <t>[15]</t>
  </si>
  <si>
    <r>
      <t>Family benefit (</t>
    </r>
    <r>
      <rPr>
        <i/>
        <sz val="9"/>
        <rFont val="Arial"/>
        <family val="2"/>
      </rPr>
      <t>zasiłek rodzinny</t>
    </r>
    <r>
      <rPr>
        <sz val="9"/>
        <rFont val="Arial"/>
        <family val="2"/>
      </rPr>
      <t>)</t>
    </r>
  </si>
  <si>
    <r>
      <t>Supplement to family benefit (</t>
    </r>
    <r>
      <rPr>
        <i/>
        <sz val="9"/>
        <rFont val="Arial"/>
        <family val="2"/>
      </rPr>
      <t>zasiłek rodzinny</t>
    </r>
    <r>
      <rPr>
        <sz val="9"/>
        <rFont val="Arial"/>
        <family val="2"/>
      </rPr>
      <t>) for lone parents</t>
    </r>
  </si>
  <si>
    <r>
      <t>Family benefit (</t>
    </r>
    <r>
      <rPr>
        <i/>
        <sz val="9"/>
        <rFont val="Arial"/>
        <family val="2"/>
      </rPr>
      <t>Barnbidrag</t>
    </r>
    <r>
      <rPr>
        <sz val="9"/>
        <rFont val="Arial"/>
        <family val="2"/>
      </rPr>
      <t>)</t>
    </r>
  </si>
  <si>
    <r>
      <t>Alimony advance payment (</t>
    </r>
    <r>
      <rPr>
        <i/>
        <sz val="9"/>
        <rFont val="Arial"/>
        <family val="2"/>
      </rPr>
      <t>Underhållsstöd</t>
    </r>
    <r>
      <rPr>
        <sz val="9"/>
        <rFont val="Arial"/>
        <family val="2"/>
      </rPr>
      <t>)</t>
    </r>
  </si>
  <si>
    <r>
      <t>Basic family allowance (</t>
    </r>
    <r>
      <rPr>
        <i/>
        <sz val="9"/>
        <rFont val="Arial"/>
        <family val="2"/>
      </rPr>
      <t>Alocaţia de stat pentru copii</t>
    </r>
    <r>
      <rPr>
        <sz val="9"/>
        <rFont val="Arial"/>
        <family val="2"/>
      </rPr>
      <t>)</t>
    </r>
  </si>
  <si>
    <r>
      <t>Allowance for family support (</t>
    </r>
    <r>
      <rPr>
        <i/>
        <sz val="9"/>
        <rFont val="Arial"/>
        <family val="2"/>
      </rPr>
      <t>Alocația pentru susținerea familiei</t>
    </r>
    <r>
      <rPr>
        <sz val="9"/>
        <rFont val="Arial"/>
        <family val="2"/>
      </rPr>
      <t>)</t>
    </r>
  </si>
  <si>
    <r>
      <t>Supplement to allowance for family support (</t>
    </r>
    <r>
      <rPr>
        <i/>
        <sz val="9"/>
        <rFont val="Arial"/>
        <family val="2"/>
      </rPr>
      <t>Alocația pentru susținerea familiei</t>
    </r>
    <r>
      <rPr>
        <sz val="9"/>
        <rFont val="Arial"/>
        <family val="2"/>
      </rPr>
      <t>) for lone parents</t>
    </r>
  </si>
  <si>
    <r>
      <t>Benefit calculation</t>
    </r>
    <r>
      <rPr>
        <vertAlign val="superscript"/>
        <sz val="9"/>
        <color theme="1"/>
        <rFont val="Arial"/>
        <family val="2"/>
      </rPr>
      <t>(1)</t>
    </r>
  </si>
  <si>
    <r>
      <t>Income assessment unit</t>
    </r>
    <r>
      <rPr>
        <vertAlign val="superscript"/>
        <sz val="9"/>
        <rFont val="Arial"/>
        <family val="2"/>
      </rPr>
      <t>(3)</t>
    </r>
  </si>
  <si>
    <r>
      <t>Earnings when phasing out begins (% AW)</t>
    </r>
    <r>
      <rPr>
        <vertAlign val="superscript"/>
        <sz val="9"/>
        <rFont val="Arial"/>
        <family val="2"/>
      </rPr>
      <t>(4)</t>
    </r>
  </si>
  <si>
    <r>
      <t>Approximate maximum earnings when benefit is phased out completely (% AW)</t>
    </r>
    <r>
      <rPr>
        <vertAlign val="superscript"/>
        <sz val="9"/>
        <rFont val="Arial"/>
        <family val="2"/>
      </rPr>
      <t>(4)</t>
    </r>
  </si>
  <si>
    <t>At approximately 38% of AW</t>
  </si>
  <si>
    <t>At approximately 76% of AW</t>
  </si>
  <si>
    <r>
      <t>France</t>
    </r>
    <r>
      <rPr>
        <vertAlign val="superscript"/>
        <sz val="9"/>
        <rFont val="Arial"/>
        <family val="2"/>
      </rPr>
      <t>(6)</t>
    </r>
  </si>
  <si>
    <t>At approximately 57% of AW</t>
  </si>
  <si>
    <r>
      <t>Korea</t>
    </r>
    <r>
      <rPr>
        <vertAlign val="superscript"/>
        <sz val="9"/>
        <rFont val="Arial"/>
        <family val="2"/>
      </rPr>
      <t>(9)</t>
    </r>
  </si>
  <si>
    <r>
      <t>Luxembourg</t>
    </r>
    <r>
      <rPr>
        <vertAlign val="superscript"/>
        <sz val="9"/>
        <rFont val="Arial"/>
        <family val="2"/>
      </rPr>
      <t>(10)</t>
    </r>
  </si>
  <si>
    <r>
      <t>United 
States</t>
    </r>
    <r>
      <rPr>
        <vertAlign val="superscript"/>
        <sz val="9"/>
        <rFont val="Arial"/>
        <family val="2"/>
      </rPr>
      <t>(11)</t>
    </r>
  </si>
  <si>
    <t>No phase-out</t>
  </si>
  <si>
    <t>Ontario Other Employment and Employment Assistance Activities Benefit</t>
  </si>
  <si>
    <t>In-work benefit</t>
  </si>
  <si>
    <t>Once in 12 months</t>
  </si>
  <si>
    <t>Family gross income</t>
  </si>
  <si>
    <t>At net family income of 42% of AW</t>
  </si>
  <si>
    <t>Yes, less than 80% of full-time hours</t>
  </si>
  <si>
    <t>81%</t>
  </si>
  <si>
    <t>Earned income tax credit</t>
  </si>
  <si>
    <t>Employees</t>
  </si>
  <si>
    <t>Yes, different rules for working more or less than 78 hours per month</t>
  </si>
  <si>
    <t>Taxable income</t>
  </si>
  <si>
    <t>19.3% (5.1% for single-earner couple)</t>
  </si>
  <si>
    <t>Mini- and Midijob (marginal employment) schemes</t>
  </si>
  <si>
    <t>Net family income</t>
  </si>
  <si>
    <t>Gross income</t>
  </si>
  <si>
    <t>Working parents</t>
  </si>
  <si>
    <t>Re-employment allowance</t>
  </si>
  <si>
    <t>With more than 2/3 (1/3) of the benefit duration remaining: 60% (50%) of the remaining benefit</t>
  </si>
  <si>
    <t>Household taxable income</t>
  </si>
  <si>
    <t>Lone parents</t>
  </si>
  <si>
    <t>Independent earner tax credit</t>
  </si>
  <si>
    <t>Working low-income individuals not receiving other tax credits or benefits</t>
  </si>
  <si>
    <t>Gross family income</t>
  </si>
  <si>
    <t>Working Tax Credit</t>
  </si>
  <si>
    <t>Employment tax credit</t>
  </si>
  <si>
    <t>Work-related expenses allowance</t>
  </si>
  <si>
    <t>Work-related tax deduction</t>
  </si>
  <si>
    <t>Individual gross earnings</t>
  </si>
  <si>
    <t>Individual's work income plus potential unemployment benefits less social security contributions</t>
  </si>
  <si>
    <t>Individual net earnings</t>
  </si>
  <si>
    <r>
      <t>Reduction of employee social security contributions (</t>
    </r>
    <r>
      <rPr>
        <i/>
        <sz val="9"/>
        <rFont val="Arial"/>
        <family val="2"/>
      </rPr>
      <t>Réduction des cotisations personelles de sécurité sociale</t>
    </r>
    <r>
      <rPr>
        <sz val="9"/>
        <rFont val="Arial"/>
        <family val="2"/>
      </rPr>
      <t>)</t>
    </r>
  </si>
  <si>
    <t>Family net income</t>
  </si>
  <si>
    <r>
      <rPr>
        <i/>
        <sz val="9"/>
        <rFont val="Arial"/>
        <family val="2"/>
      </rPr>
      <t>Ontario Child Care Supplement for Working Families</t>
    </r>
    <r>
      <rPr>
        <sz val="9"/>
        <rFont val="Arial"/>
        <family val="2"/>
      </rPr>
      <t xml:space="preserve"> (OCCS)</t>
    </r>
  </si>
  <si>
    <r>
      <t>Employment-conditional benefit for women (</t>
    </r>
    <r>
      <rPr>
        <i/>
        <sz val="9"/>
        <rFont val="Arial"/>
        <family val="2"/>
      </rPr>
      <t>Bono Trabajo Mujer</t>
    </r>
    <r>
      <rPr>
        <sz val="9"/>
        <rFont val="Arial"/>
        <family val="2"/>
      </rPr>
      <t>)</t>
    </r>
  </si>
  <si>
    <t xml:space="preserve">50% 
</t>
  </si>
  <si>
    <r>
      <t>Unemployment assistance (</t>
    </r>
    <r>
      <rPr>
        <i/>
        <sz val="9"/>
        <rFont val="Arial"/>
        <family val="2"/>
      </rPr>
      <t>Assistance solidarité spécifique</t>
    </r>
    <r>
      <rPr>
        <sz val="9"/>
        <rFont val="Arial"/>
        <family val="2"/>
      </rPr>
      <t xml:space="preserve"> (ASS)) means test for earnings</t>
    </r>
  </si>
  <si>
    <t>Family gross earnings</t>
  </si>
  <si>
    <t>40% if working less than 78 hours/month
100% if working at least 78 hours/month</t>
  </si>
  <si>
    <r>
      <t>Social Assistance means test for earnings (</t>
    </r>
    <r>
      <rPr>
        <i/>
        <sz val="9"/>
        <rFont val="Arial"/>
        <family val="2"/>
      </rPr>
      <t>Revenu Solidarité Active</t>
    </r>
    <r>
      <rPr>
        <sz val="9"/>
        <rFont val="Arial"/>
        <family val="2"/>
      </rPr>
      <t xml:space="preserve"> (RSA)) when working or taking up work</t>
    </r>
  </si>
  <si>
    <t>0% for first three months
38% thereafter</t>
  </si>
  <si>
    <t>General scheme at 52% of AW, benefit to newly employed drops to lump-sum at 52% of AW</t>
  </si>
  <si>
    <r>
      <rPr>
        <i/>
        <sz val="9"/>
        <rFont val="Arial"/>
        <family val="2"/>
      </rPr>
      <t>Prime pour l'Emploi</t>
    </r>
    <r>
      <rPr>
        <sz val="9"/>
        <rFont val="Arial"/>
        <family val="2"/>
      </rPr>
      <t xml:space="preserve"> (PPE)</t>
    </r>
  </si>
  <si>
    <r>
      <rPr>
        <i/>
        <sz val="9"/>
        <rFont val="Arial"/>
        <family val="2"/>
      </rPr>
      <t>Family Income Supplement</t>
    </r>
    <r>
      <rPr>
        <sz val="9"/>
        <rFont val="Arial"/>
        <family val="2"/>
      </rPr>
      <t xml:space="preserve"> (FIS)</t>
    </r>
  </si>
  <si>
    <t>Gross family earnings</t>
  </si>
  <si>
    <t>Depends on work hours and family size</t>
  </si>
  <si>
    <t>No, lump-sum payment</t>
  </si>
  <si>
    <t>Abatement starts where family tax credit is fully withdrawn, depends on number and age of children</t>
  </si>
  <si>
    <r>
      <t>Unemployment insurance (</t>
    </r>
    <r>
      <rPr>
        <i/>
        <sz val="9"/>
        <rFont val="Arial"/>
        <family val="2"/>
      </rPr>
      <t>Subisdio de desemprego</t>
    </r>
    <r>
      <rPr>
        <sz val="9"/>
        <rFont val="Arial"/>
        <family val="2"/>
      </rPr>
      <t>) means test</t>
    </r>
  </si>
  <si>
    <t>100% in case where earnings less than maximum UI benefit and hours are less than 75% of previous working hours</t>
  </si>
  <si>
    <t>Depends on previous earnings</t>
  </si>
  <si>
    <r>
      <t>Social assistance (</t>
    </r>
    <r>
      <rPr>
        <i/>
        <sz val="9"/>
        <rFont val="Arial"/>
        <family val="2"/>
      </rPr>
      <t>Rendimento social de inserção</t>
    </r>
    <r>
      <rPr>
        <sz val="9"/>
        <rFont val="Arial"/>
        <family val="2"/>
      </rPr>
      <t>) means test</t>
    </r>
  </si>
  <si>
    <t>50% during first year of employment, otherwise 80%</t>
  </si>
  <si>
    <t>Family taxable income</t>
  </si>
  <si>
    <t>Into-work benefit</t>
  </si>
  <si>
    <t>Yes, must be in work</t>
  </si>
  <si>
    <r>
      <t>Into-work benefit based on remaining unemployment benefit (</t>
    </r>
    <r>
      <rPr>
        <i/>
        <sz val="9"/>
        <rFont val="Arial"/>
        <family val="2"/>
      </rPr>
      <t>Dávka v nezamestnanosti</t>
    </r>
    <r>
      <rPr>
        <sz val="9"/>
        <rFont val="Arial"/>
        <family val="2"/>
      </rPr>
      <t>) claim</t>
    </r>
  </si>
  <si>
    <t>Can claim 50% of remaining unemployment insurance as a lump sum if begins working again after 3 months of unemployment</t>
  </si>
  <si>
    <r>
      <t>Social assistance (</t>
    </r>
    <r>
      <rPr>
        <i/>
        <sz val="9"/>
        <rFont val="Arial"/>
        <family val="2"/>
      </rPr>
      <t>Denarna socialna pomoč</t>
    </r>
    <r>
      <rPr>
        <sz val="9"/>
        <rFont val="Arial"/>
        <family val="2"/>
      </rPr>
      <t>) supplements if working</t>
    </r>
  </si>
  <si>
    <t xml:space="preserve">Never fully phased out </t>
  </si>
  <si>
    <r>
      <rPr>
        <i/>
        <sz val="9"/>
        <rFont val="Arial"/>
        <family val="2"/>
      </rPr>
      <t>Earned income tax credit</t>
    </r>
    <r>
      <rPr>
        <sz val="9"/>
        <rFont val="Arial"/>
        <family val="2"/>
      </rPr>
      <t xml:space="preserve"> (EITC)</t>
    </r>
  </si>
  <si>
    <t>Lump-sum of 50% of remaining UI payment if enter part-time work and earnings below that of a full-time minimum wage worker</t>
  </si>
  <si>
    <t>30% of previous unemployment benefit payment</t>
  </si>
  <si>
    <t>Into-work benefit based on prior social assistance receipt</t>
  </si>
  <si>
    <t>Social assistance benefit</t>
  </si>
  <si>
    <t>Last social assistance benefit paid</t>
  </si>
  <si>
    <t>2. All amounts are shown on an annualised basis. "--" indicates that no information is available or not applicable. Non-general schemes that are specifically targeted towards younger or older age-groups are not shown.</t>
  </si>
  <si>
    <t>3. Gross = gross employment income; SSC = (employee) social security contributions; Net = Gross minus income taxes minus SSC.</t>
  </si>
  <si>
    <t>4. Phasing-out thresholds are shown for a single person working full-time if not indicated differently in country-specific footnotes.</t>
  </si>
  <si>
    <t>5. CAN: Phasing out thresholds for the OCCS refer to a lone parent.</t>
  </si>
  <si>
    <t>6. FRA: Amounts of Revenu de Solidarite Active received can reduce the amount of Prime pour l'emploi received. For example, lone parents with two children will tend to receive more RSA than PPE. PPE earnings thresholds and cut-outs are calculated assuming no RSA is received.</t>
  </si>
  <si>
    <t xml:space="preserve">7. IRE: Complete phase-out of FIS shown for family with one child. </t>
  </si>
  <si>
    <t>8. ISR: Phase out of non-wastable earned income tax shown for a family with up to two children.</t>
  </si>
  <si>
    <t>9. KOR: Phase out of earned income tax shown for a family with one earner with a non-working spouse and two children.</t>
  </si>
  <si>
    <t>10. LUX: Phase out thresholds for means test for social assistance includes complementary benefit and rent assistance.</t>
  </si>
  <si>
    <t>11. USA: TANF means test for Michigan, phase-out for a single parent of two children.</t>
  </si>
  <si>
    <t>2. + (-) indicates a more (less) than proportional increase for each additional child. +/- for countries that give higher rates to the youngest and oldest age groups.</t>
  </si>
  <si>
    <t xml:space="preserve">4. AUS: Recipients of FTB and Parenting Payment in Australia are entitled to Clean Energy Advance (later substituted by Clean Energy Supplement) to offset the impacts of carbon pricing. </t>
  </si>
  <si>
    <t>6. HUN: Amount of mother/father allowance is divided by two as it is just given for a lone parent of two.</t>
  </si>
  <si>
    <t>8. ISR: Child allowance for children born on or after 1 June 2003, maximum benefit for a child below age 5.</t>
  </si>
  <si>
    <r>
      <t>Into-work benefit based on remaining unemployment benefit (</t>
    </r>
    <r>
      <rPr>
        <i/>
        <sz val="9"/>
        <rFont val="Arial"/>
        <family val="2"/>
      </rPr>
      <t>Indemnizatia de somaj</t>
    </r>
    <r>
      <rPr>
        <sz val="9"/>
        <rFont val="Arial"/>
        <family val="2"/>
      </rPr>
      <t>) claim</t>
    </r>
  </si>
  <si>
    <t>Tax treatment of benefits</t>
  </si>
  <si>
    <t>PT_UI_taxable</t>
  </si>
  <si>
    <t>PT_UA_taxable</t>
  </si>
  <si>
    <t>PT_FB_taxable</t>
  </si>
  <si>
    <t>PT_LP_taxable</t>
  </si>
  <si>
    <t>PT_HB_taxable</t>
  </si>
  <si>
    <t>PT_SA_taxable</t>
  </si>
  <si>
    <t>Legend:</t>
  </si>
  <si>
    <t>T</t>
  </si>
  <si>
    <t>Taxes are payable.</t>
  </si>
  <si>
    <t>T(n) or S(n)</t>
  </si>
  <si>
    <t>Long-term recipients will not pay the taxes</t>
  </si>
  <si>
    <t>(T)</t>
  </si>
  <si>
    <t>Taxes payable on parts of benefit.</t>
  </si>
  <si>
    <t>or SSC as the credits, allowances or zero</t>
  </si>
  <si>
    <t>S</t>
  </si>
  <si>
    <t>Social security contributions (SSC) are payable.</t>
  </si>
  <si>
    <t>rate bands exceed the benefit level.</t>
  </si>
  <si>
    <t>N</t>
  </si>
  <si>
    <t>Neither taxes nor SSC are levied.</t>
  </si>
  <si>
    <t xml:space="preserve">(reduced)
                            </t>
  </si>
  <si>
    <t>A reduced rate is payable for beneficiaries.</t>
  </si>
  <si>
    <t>No specific scheme / Does not apply.</t>
  </si>
  <si>
    <t>tc</t>
  </si>
  <si>
    <t>Benefit is a proportion of after tax income</t>
  </si>
  <si>
    <t>(and thus not taxable).</t>
  </si>
  <si>
    <t>Unemployment insurance benefit</t>
  </si>
  <si>
    <t>Unemployment assistance benefit</t>
  </si>
  <si>
    <r>
      <t>Lone-parent benefit</t>
    </r>
    <r>
      <rPr>
        <vertAlign val="superscript"/>
        <sz val="9"/>
        <rFont val="Arial"/>
        <family val="2"/>
      </rPr>
      <t>(1)</t>
    </r>
  </si>
  <si>
    <t>Housing benefit</t>
  </si>
  <si>
    <r>
      <t>France</t>
    </r>
    <r>
      <rPr>
        <vertAlign val="superscript"/>
        <sz val="9"/>
        <rFont val="Arial"/>
        <family val="2"/>
      </rPr>
      <t>(2)</t>
    </r>
  </si>
  <si>
    <r>
      <t>Luxembourg</t>
    </r>
    <r>
      <rPr>
        <vertAlign val="superscript"/>
        <sz val="9"/>
        <rFont val="Arial"/>
        <family val="2"/>
      </rPr>
      <t>(3)</t>
    </r>
  </si>
  <si>
    <r>
      <t>Spain</t>
    </r>
    <r>
      <rPr>
        <vertAlign val="superscript"/>
        <sz val="9"/>
        <rFont val="Arial"/>
        <family val="2"/>
      </rPr>
      <t>(5)</t>
    </r>
  </si>
  <si>
    <r>
      <t>Turkey</t>
    </r>
    <r>
      <rPr>
        <vertAlign val="superscript"/>
        <sz val="9"/>
        <rFont val="Arial"/>
        <family val="2"/>
      </rPr>
      <t>(6)</t>
    </r>
  </si>
  <si>
    <t>T(n)</t>
  </si>
  <si>
    <t>T, S (reduced)</t>
  </si>
  <si>
    <t>T, S (only health insurance contribution)</t>
  </si>
  <si>
    <t>T, S(reduced)</t>
  </si>
  <si>
    <t>T(n), S(n)</t>
  </si>
  <si>
    <t>T, S</t>
  </si>
  <si>
    <t>T (reduced)</t>
  </si>
  <si>
    <t>S (reduced)</t>
  </si>
  <si>
    <t>T (reduced), S(reduced)</t>
  </si>
  <si>
    <t>Y</t>
  </si>
  <si>
    <t>N/tc</t>
  </si>
  <si>
    <t>T(reduced)</t>
  </si>
  <si>
    <t>1.  Only countries that provide family benefit supplement or specific non-means-tested benefits.</t>
  </si>
  <si>
    <r>
      <t xml:space="preserve">2. FRA: Family and housing benefits are not taxable as such but are subject to an obligatory contribution of 0.5% to a social fund (CRDS - </t>
    </r>
    <r>
      <rPr>
        <i/>
        <sz val="9"/>
        <rFont val="Arial"/>
        <family val="2"/>
      </rPr>
      <t>contribution au remboursement de la dette sociale</t>
    </r>
    <r>
      <rPr>
        <sz val="9"/>
        <rFont val="Arial"/>
        <family val="2"/>
      </rPr>
      <t>).</t>
    </r>
  </si>
  <si>
    <t>3. LUX: Unemployment benefit recipients have to pay social contributions for health care, long-term care and for pensions. Social assistance benefit recipients pay full social security contributions payable with regard to the basic social assistance benefit, but pay only the sickness contributions and long term care contributions for the complementary benefit (includes rent assistance). The expensive life allowance is not taxable and no contributions to sickness and long-term care funds have to be made.</t>
  </si>
  <si>
    <t>4. NOR: Out of lone parent benefits only transitional benefit is taxable.</t>
  </si>
  <si>
    <t>5. ESP: If unemployment assistance benefit is the only income source, it is not taxable.</t>
  </si>
  <si>
    <t>6. TUR:  Unemployment insurance benefits subject to stamp tax but not income tax.</t>
  </si>
  <si>
    <r>
      <t xml:space="preserve">2. In some countries other schemes exist that aim at specific groups, </t>
    </r>
    <r>
      <rPr>
        <i/>
        <sz val="9"/>
        <rFont val="Arial"/>
        <family val="2"/>
      </rPr>
      <t>e.g.</t>
    </r>
    <r>
      <rPr>
        <sz val="9"/>
        <rFont val="Arial"/>
        <family val="2"/>
      </rPr>
      <t xml:space="preserve"> students, elderly or disabled.</t>
    </r>
  </si>
  <si>
    <t>5. DEU: Housing costs calculated with regard to the city of Berlin.</t>
  </si>
  <si>
    <t>6. ISR: Grade 45 is assumed for the calculation of housing benefit in Israel. If income from wage is under 25% above the income level credit (grade 46), a smaller benefit is awarded.</t>
  </si>
  <si>
    <t>7. NZL: Area 3 is considered.</t>
  </si>
  <si>
    <t>8. HUN: Support no longer provided from 1st July 2015</t>
  </si>
  <si>
    <t>9. JPN: Support discontinued at end of fiscal year 2014</t>
  </si>
  <si>
    <r>
      <rPr>
        <i/>
        <sz val="9"/>
        <rFont val="Arial"/>
        <family val="2"/>
      </rPr>
      <t>Unemployment benefit</t>
    </r>
    <r>
      <rPr>
        <sz val="9"/>
        <rFont val="Arial"/>
        <family val="2"/>
      </rPr>
      <t xml:space="preserve"> (UB, contributory)
</t>
    </r>
    <r>
      <rPr>
        <i/>
        <sz val="9"/>
        <rFont val="Arial"/>
        <family val="2"/>
      </rPr>
      <t>Special unemployment benefit</t>
    </r>
    <r>
      <rPr>
        <sz val="9"/>
        <rFont val="Arial"/>
        <family val="2"/>
      </rPr>
      <t xml:space="preserve"> (SUB, means-tested)</t>
    </r>
  </si>
  <si>
    <t>National guidelines, regions can set higher levels</t>
  </si>
  <si>
    <t>6.7%; Riga: 7.7%</t>
  </si>
  <si>
    <t>6.7%; 
Riga: 8.6%</t>
  </si>
  <si>
    <t>Dzīvokļa pabalsts</t>
  </si>
  <si>
    <r>
      <t>Maintenance guarantee fund (</t>
    </r>
    <r>
      <rPr>
        <i/>
        <sz val="9"/>
        <rFont val="Arial"/>
        <family val="2"/>
      </rPr>
      <t>valsts uztūrlīdzekļi bērniem</t>
    </r>
    <r>
      <rPr>
        <sz val="9"/>
        <rFont val="Arial"/>
        <family val="2"/>
      </rPr>
      <t>)</t>
    </r>
  </si>
  <si>
    <t>Unemployment and family benefits (except child birth benefit)</t>
  </si>
  <si>
    <t>Average Wages</t>
  </si>
  <si>
    <t>Average Wage estimated by the Centre for Tax Policy and Administration. For more information on methodology see the latest Taxing Wages publication.</t>
  </si>
  <si>
    <t>country_name</t>
  </si>
  <si>
    <t>AW</t>
  </si>
  <si>
    <t>Cyprus</t>
  </si>
  <si>
    <t>Average Wage 2014</t>
  </si>
  <si>
    <t>E + C: 9 out of last 24months</t>
  </si>
  <si>
    <t>0 in lower income brackets, + in highest income bracket</t>
  </si>
  <si>
    <t>3.  All amounts are shown on an annualised basis for a couple family. AW = Average Wage of a full-time private sector employee. Where benefit is delivered through the tax system maximum amounts for non-wastable tax credits and allowances are shown where applicable.</t>
  </si>
  <si>
    <t>24 if on initial unemployment social allowance, 12 if on subsequent unemployment social allowance after exhausting unemployment insurance.</t>
  </si>
  <si>
    <t>12 to 36 months</t>
  </si>
  <si>
    <r>
      <t>Additional family benefit (</t>
    </r>
    <r>
      <rPr>
        <i/>
        <sz val="9"/>
        <rFont val="Arial"/>
        <family val="2"/>
      </rPr>
      <t>Abono de família para crianças e jovens</t>
    </r>
    <r>
      <rPr>
        <sz val="9"/>
        <rFont val="Arial"/>
        <family val="2"/>
      </rPr>
      <t>) for children aged 1-3 in families with 2 or more children</t>
    </r>
  </si>
  <si>
    <r>
      <t>Additional family benefit (</t>
    </r>
    <r>
      <rPr>
        <i/>
        <sz val="9"/>
        <rFont val="Arial"/>
        <family val="2"/>
      </rPr>
      <t>Abono de família para crianças e jovens</t>
    </r>
    <r>
      <rPr>
        <sz val="9"/>
        <rFont val="Arial"/>
        <family val="2"/>
      </rPr>
      <t>) for school-age children</t>
    </r>
  </si>
  <si>
    <t>6 to 16</t>
  </si>
  <si>
    <t>Housing allowance, health care allowance, activation allowance</t>
  </si>
  <si>
    <t>All except for child allowance, childcare allowance and special allowance</t>
  </si>
  <si>
    <t>age or employment history</t>
  </si>
  <si>
    <t>Where relevant, data relate to a prime-age individual (40 years old) with a "long and uninterrupted" employment record. Entitlements can differ for other groups of workers, see columns 12-14</t>
  </si>
  <si>
    <t>Minimum income benefits that employ a low-income criterion as the central entitlement condition</t>
  </si>
  <si>
    <t>Employment-conditional benefits, re-employment allowances and additional entitlements for working families in other areas of the benefit system</t>
  </si>
  <si>
    <t xml:space="preserve">Working families may also receive support through the benefits described in other sheets, but these are not included here unless families receive a larger amount of benefit if their hours or earnings are above a particular level. </t>
  </si>
  <si>
    <t>G: + duration extended to 15 (18, 24) months if at least 50 (55, 58) years old.</t>
  </si>
  <si>
    <r>
      <rPr>
        <i/>
        <sz val="9"/>
        <rFont val="Arial"/>
        <family val="2"/>
      </rPr>
      <t>Grundsicherung für Arbeitssuchende / Arbeitslosengeld II</t>
    </r>
    <r>
      <rPr>
        <sz val="9"/>
        <rFont val="Arial"/>
        <family val="2"/>
      </rPr>
      <t xml:space="preserve"> (ALGII; "Hartz IV")</t>
    </r>
  </si>
  <si>
    <t>5. As of 1st January 2005, unemployment assistance and social assistance for persons who are able to work were combined into one benefit, the basic jobseeker's allowance (unemployment benefit II). The benefit is available for persons who are able to work and whose income is not sufficient to secure their own and their family's livelihood. Persons beyond working age or who are not able to work are eligible to social assistance (Sozialhilfe), which is based on the same basic amounts as unemployment benefit II.</t>
  </si>
  <si>
    <t xml:space="preserve">Other benefits are counted towards the unemployment benefit II if they serve the same purpose (secure the recipients' livelihood), i.e. the payment of unemployment benefit II (incl. the housing benefit specific to unemployment benefit II recipients) is subordinate </t>
  </si>
  <si>
    <t>All other benefits serving the same purpose (secure the recipients' livelihood) are counted towards social assistance, which is a benefit of 'last resort'</t>
  </si>
  <si>
    <t>Benefit amount equals 1.08 times difference between eligible rent and a proportion of income that varies by income and eligible housing costs</t>
  </si>
  <si>
    <r>
      <t>Child tax credit (</t>
    </r>
    <r>
      <rPr>
        <i/>
        <sz val="9"/>
        <rFont val="Arial"/>
        <family val="2"/>
      </rPr>
      <t>Kindergeld</t>
    </r>
    <r>
      <rPr>
        <sz val="9"/>
        <rFont val="Arial"/>
        <family val="2"/>
      </rPr>
      <t>)</t>
    </r>
  </si>
  <si>
    <t>0 for second child, + for third and subsequent children</t>
  </si>
  <si>
    <r>
      <t>Tax allowance for children (</t>
    </r>
    <r>
      <rPr>
        <i/>
        <sz val="9"/>
        <rFont val="Arial"/>
        <family val="2"/>
      </rPr>
      <t>Kinderfreibetrag</t>
    </r>
    <r>
      <rPr>
        <sz val="9"/>
        <rFont val="Arial"/>
        <family val="2"/>
      </rPr>
      <t>)</t>
    </r>
  </si>
  <si>
    <t xml:space="preserve">If the value of the child tax credit is less than the relief calculated applying the child tax allowance, the taxpayer obtains the tax allowance instead of the tax credit </t>
  </si>
  <si>
    <t xml:space="preserve"> 0 for second child, + for third child, + for fourth and subsequent children</t>
  </si>
  <si>
    <r>
      <t>Tax allowance for lone parents (</t>
    </r>
    <r>
      <rPr>
        <i/>
        <sz val="9"/>
        <rFont val="Arial"/>
        <family val="2"/>
      </rPr>
      <t>Entlastungsbetrag für Alleinerziehende</t>
    </r>
    <r>
      <rPr>
        <sz val="9"/>
        <rFont val="Arial"/>
        <family val="2"/>
      </rPr>
      <t>)</t>
    </r>
  </si>
  <si>
    <t>Entitlement to the tax allowance or tax credit for children</t>
  </si>
  <si>
    <t xml:space="preserve"> + for second and subsequent children</t>
  </si>
  <si>
    <r>
      <t>Lone parent supplement to unemployment benefit II (</t>
    </r>
    <r>
      <rPr>
        <i/>
        <sz val="9"/>
        <rFont val="Arial"/>
        <family val="2"/>
      </rPr>
      <t>Grundsicherung für Arbeitssuchende</t>
    </r>
    <r>
      <rPr>
        <sz val="9"/>
        <rFont val="Arial"/>
        <family val="2"/>
      </rPr>
      <t>)</t>
    </r>
  </si>
  <si>
    <t xml:space="preserve"> + if per child payment more advantageous than lump-sum</t>
  </si>
  <si>
    <r>
      <t>Alimony advance for lone parents (</t>
    </r>
    <r>
      <rPr>
        <i/>
        <sz val="9"/>
        <rFont val="Arial"/>
        <family val="2"/>
      </rPr>
      <t>Unterhaltsvorschuss</t>
    </r>
    <r>
      <rPr>
        <sz val="9"/>
        <rFont val="Arial"/>
        <family val="2"/>
      </rPr>
      <t>)</t>
    </r>
  </si>
  <si>
    <t xml:space="preserve"> + </t>
  </si>
  <si>
    <t>From month 4: Flat rate of 30% AW</t>
  </si>
  <si>
    <t>Fjárhagsaðstoð sveitarfélaga</t>
  </si>
  <si>
    <t>zajamčena minimalna naknada</t>
  </si>
  <si>
    <t>Naknada za troškove stanovanja</t>
  </si>
  <si>
    <t>Supplement to family benefit for lone parent</t>
  </si>
  <si>
    <t>Notstandshilfe</t>
  </si>
  <si>
    <t>UI: can only be received after exhaustion of UI</t>
  </si>
  <si>
    <t>Previous basic UI benefit</t>
  </si>
  <si>
    <t>G: + higher disregard for those aged over 50</t>
  </si>
  <si>
    <t>G: + if in need (previous UI were below certain level so the reipient received UI supplement)</t>
  </si>
  <si>
    <t xml:space="preserve">Austria(5) </t>
  </si>
  <si>
    <t>All other benefits except family benefits</t>
  </si>
  <si>
    <r>
      <t>Canada 
(Ontario)</t>
    </r>
    <r>
      <rPr>
        <vertAlign val="superscript"/>
        <sz val="9"/>
        <rFont val="Arial"/>
        <family val="2"/>
      </rPr>
      <t>(6)</t>
    </r>
  </si>
  <si>
    <r>
      <t>Germany</t>
    </r>
    <r>
      <rPr>
        <vertAlign val="superscript"/>
        <sz val="9"/>
        <rFont val="Arial"/>
        <family val="2"/>
      </rPr>
      <t>(7)</t>
    </r>
  </si>
  <si>
    <t>5. AUT: benefit rates for city of Vienna.</t>
  </si>
  <si>
    <t>6. CAN: Basic allowance plus shelter allowance.</t>
  </si>
  <si>
    <t>8. HUN: The "regular social benefit" (rendszeres szociális segély) is not considered here as it is for persons incapable of performing work.</t>
  </si>
  <si>
    <t>Allgemeine Wohnbeihilfe</t>
  </si>
  <si>
    <r>
      <t>Varies across regions; housing benefit in Vienna is the difference between the "countable housing expenditure" (</t>
    </r>
    <r>
      <rPr>
        <i/>
        <sz val="9"/>
        <rFont val="Arial"/>
        <family val="2"/>
      </rPr>
      <t>anrechenbarer Wohnungsaufwand</t>
    </r>
    <r>
      <rPr>
        <sz val="9"/>
        <rFont val="Arial"/>
        <family val="2"/>
      </rPr>
      <t>) and the "reasonable housing expenditure" (</t>
    </r>
    <r>
      <rPr>
        <i/>
        <sz val="9"/>
        <rFont val="Arial"/>
        <family val="2"/>
      </rPr>
      <t>zumutbarer Wohnungsaufwand</t>
    </r>
    <r>
      <rPr>
        <sz val="9"/>
        <rFont val="Arial"/>
        <family val="2"/>
      </rPr>
      <t>).</t>
    </r>
  </si>
  <si>
    <r>
      <t>Social assistance rates include 25% of housing support (</t>
    </r>
    <r>
      <rPr>
        <i/>
        <sz val="9"/>
        <rFont val="Arial"/>
        <family val="2"/>
      </rPr>
      <t>Mindestsicherung-Mietbeihilfe</t>
    </r>
    <r>
      <rPr>
        <sz val="9"/>
        <rFont val="Arial"/>
        <family val="2"/>
      </rPr>
      <t>).</t>
    </r>
  </si>
  <si>
    <t>4. AUT: Benefit as granted by the city of Vienna. The maximum amount is based on the standard assumption of a 70 square metre dwelling. The actual maximum may vary with dwelling size.</t>
  </si>
  <si>
    <r>
      <t>Family allowance (</t>
    </r>
    <r>
      <rPr>
        <i/>
        <sz val="9"/>
        <rFont val="Arial"/>
        <family val="2"/>
      </rPr>
      <t>Familienbeihilfe</t>
    </r>
    <r>
      <rPr>
        <sz val="9"/>
        <rFont val="Arial"/>
        <family val="2"/>
      </rPr>
      <t>)</t>
    </r>
  </si>
  <si>
    <t>19 (24)</t>
  </si>
  <si>
    <t xml:space="preserve"> +</t>
  </si>
  <si>
    <r>
      <t>Sole earner’s and sole parent’s tax credit for families with children (</t>
    </r>
    <r>
      <rPr>
        <i/>
        <sz val="9"/>
        <rFont val="Arial"/>
        <family val="2"/>
      </rPr>
      <t>Alleinerzieherabsetzbetrag</t>
    </r>
    <r>
      <rPr>
        <sz val="9"/>
        <rFont val="Arial"/>
        <family val="2"/>
      </rPr>
      <t>)</t>
    </r>
  </si>
  <si>
    <r>
      <t>In-work benefit (</t>
    </r>
    <r>
      <rPr>
        <i/>
        <sz val="9"/>
        <rFont val="Arial"/>
        <family val="2"/>
      </rPr>
      <t>Kombilohnbeihilf</t>
    </r>
    <r>
      <rPr>
        <sz val="9"/>
        <rFont val="Arial"/>
        <family val="2"/>
      </rPr>
      <t>e)</t>
    </r>
  </si>
  <si>
    <t>Depends on previous unemployment benefits: benefit tops up earnings to 130% of previous unemployment benefit (which in turn depends on previous earnings)</t>
  </si>
  <si>
    <t>Unable to work more than 3 hours/week</t>
  </si>
  <si>
    <t>Sozialhilfe / Sozialgeld</t>
  </si>
  <si>
    <t>7. DEU: As of 1st January 2005, unemployment assistance and social assistance for persons who are able to work were combined into one benefit, the basic jobseeker's allowance (unemployment benefit II). The benefit is available for persons who are able to work and whose income is not sufficient to secure their own and their family's livelihood. Persons beyond working age or who are not able to work are eligible to social assistance (Sozialhilfe/Sozialgeld), which is based on the same basic amounts as unemployment benefit II.</t>
  </si>
  <si>
    <t>ανεργιακό επίδομα</t>
  </si>
  <si>
    <t>C: 26 weeks (of which 20 in the relevant contribution year) on earnings not less than basic insurable earnings</t>
  </si>
  <si>
    <t>80% (including increases for dependants)</t>
  </si>
  <si>
    <t>E: + extended upper age limit if not eligible to old-age pension</t>
  </si>
  <si>
    <t>Ελάχιστο εγγυημένο εισόδημα</t>
  </si>
  <si>
    <t>Municipal benefit in an extraordinary situation; subsidized provision of school lunches, food, benefits for raising and educating children,etc.</t>
  </si>
  <si>
    <t>Unemployment and family benefits.</t>
  </si>
  <si>
    <t>Additional support for those receiving GMI. Provided to the beneficiary paying rent or living in an owned house for which they have to pay mortgage interest for the housing loan.</t>
  </si>
  <si>
    <r>
      <t>3.  All amounts are shown on an annualised basis. "--" indicates that there is no such provision. AW = Average Wage of a full-time private sector employee. Family with two children aged 4 and 6 with one parent employed if applicable. In Finland maximum housing benefit is calculated for municipality group I, assuming more than 81 m</t>
    </r>
    <r>
      <rPr>
        <vertAlign val="superscript"/>
        <sz val="9"/>
        <rFont val="Arial"/>
        <family val="2"/>
      </rPr>
      <t>2</t>
    </r>
    <r>
      <rPr>
        <sz val="9"/>
        <rFont val="Arial"/>
        <family val="2"/>
      </rPr>
      <t xml:space="preserve"> and a dwelling dating from 1996 or younger. For Czech Republic municipality size of 50 000 to 99 999 inhabitants is chosen. For the Local Housing Allowance in the United Kingdom eligible housing costs for the broad rental market in the Maidstone region are chosen as a reference. Assumed region for Latvia is Riga; for Cyprus - Nicosia-Limassol-Famagusta.</t>
    </r>
  </si>
  <si>
    <r>
      <t xml:space="preserve">Child benefit </t>
    </r>
    <r>
      <rPr>
        <i/>
        <sz val="9"/>
        <rFont val="Arial"/>
        <family val="2"/>
      </rPr>
      <t>(Επίδομα τέκνου)</t>
    </r>
  </si>
  <si>
    <t>17(18)</t>
  </si>
  <si>
    <t>Until month 3: Flat-rate 15% of AW, plus 40% of reference earnings</t>
  </si>
  <si>
    <t>From month 4: Flat-rate 15% of AW, plus 20% of reference earnings</t>
  </si>
  <si>
    <t>Socialinė pašalpa</t>
  </si>
  <si>
    <t xml:space="preserve">Support to pupils of 0.56% of AW </t>
  </si>
  <si>
    <t>77-100% (depending on family composition)</t>
  </si>
  <si>
    <t>G: -20% months 12 to 24, 
-30% months 24 to 36, 
-40% months 36 to 48, 
-50% months 48 to 60,
after 60 months no benefit paid</t>
  </si>
  <si>
    <r>
      <t xml:space="preserve">No general housing benefit but assistance for housing heating, cold and hot water </t>
    </r>
    <r>
      <rPr>
        <i/>
        <sz val="9"/>
        <rFont val="Arial"/>
        <family val="2"/>
      </rPr>
      <t>(Būsto šildymo, geriamojo ir karšto vandens išlaidų kompensacijos)</t>
    </r>
  </si>
  <si>
    <r>
      <t xml:space="preserve">Children's maintenance benefit </t>
    </r>
    <r>
      <rPr>
        <i/>
        <sz val="9"/>
        <rFont val="Arial"/>
        <family val="2"/>
      </rPr>
      <t>(vaikų išlaikymo išmokos)</t>
    </r>
  </si>
  <si>
    <t xml:space="preserve">Benefit is paid on "eligible rent" which may differ from contractual rent if the rent includes other charges that are not eligible or the rent is deemed excessive up to a maximum that varies by locality. Benefit is this amount less 65% of difference between net resources and social assistance rates. For those on social assistance benefit amounts to "eligible rent". </t>
  </si>
  <si>
    <t>E: 34 weeks (min 18 hours / week) in last 28 months;  for earnings-related benefit the condition should be satisfied during the period of
membership in unemployment fund</t>
  </si>
  <si>
    <t>G: + for children under 18 (3-6% of AW based on the number of children)</t>
  </si>
  <si>
    <t>80% below earnings disregards, 
100% thereafter</t>
  </si>
  <si>
    <r>
      <t xml:space="preserve">Maintenance allowance </t>
    </r>
    <r>
      <rPr>
        <i/>
        <sz val="9"/>
        <rFont val="Arial"/>
        <family val="2"/>
      </rPr>
      <t>(Elatustuki)</t>
    </r>
  </si>
  <si>
    <r>
      <t xml:space="preserve">Adjusted unemployment benefit </t>
    </r>
    <r>
      <rPr>
        <i/>
        <sz val="9"/>
        <rFont val="Arial"/>
        <family val="2"/>
      </rPr>
      <t>(Soviteltu työttömyysetuus)</t>
    </r>
  </si>
  <si>
    <t>Jobseeker's Allowance</t>
  </si>
  <si>
    <r>
      <t xml:space="preserve">Ireland </t>
    </r>
    <r>
      <rPr>
        <vertAlign val="superscript"/>
        <sz val="9"/>
        <rFont val="Arial"/>
        <family val="2"/>
      </rPr>
      <t>(9)</t>
    </r>
  </si>
  <si>
    <r>
      <t xml:space="preserve">United 
Kingdom </t>
    </r>
    <r>
      <rPr>
        <vertAlign val="superscript"/>
        <sz val="9"/>
        <rFont val="Arial"/>
        <family val="2"/>
      </rPr>
      <t>(12)</t>
    </r>
  </si>
  <si>
    <t>10. LUX: Social assistance rates include expensive life allowance and housing benefit.</t>
  </si>
  <si>
    <t>11. NOR: Subsistance allowance based on governmental guidelines; housing, heating and electricity allowance for Trondheim.</t>
  </si>
  <si>
    <t xml:space="preserve">12. GBR: See also Unemployment Assistance sheet for more details of this programme. For lone parents whose youngest child is under 5 and a few other groups, this programme is called Income Support (benefit amounts identical, but fewer job search requirements). </t>
  </si>
  <si>
    <t>9. IRL: See also Unemployment Assistance sheet for more details of this programme. For those who are unable to work and are not entitled to any other benefit, another social assistance benefit, Basic Supplementary Welfare Allowance is available. In practice, this is only claimed by asylum seekers, disabled people not entitled to any other benefit and those waiting for another benefit claim to be processed. However, the Rent Supplement in Supplementary Welfare Allowance is available more widely, see Housing Benefits sheet.</t>
  </si>
  <si>
    <t xml:space="preserve">Social assistance rules are shown in the table "Social Assistance". In some countries, families can continue to receive social assistance benefits after returning to work for a certain period, or receive higher benefit amounts if they work more than a certain number of hours. These provisions are in the "Employment-related provisions" table. </t>
  </si>
  <si>
    <t xml:space="preserve">No benefit paid on days worked. Benefit stopped if claimant works for more than four days in a six-day period, excluding Sundays. </t>
  </si>
  <si>
    <t>Youngest child must be under 7</t>
  </si>
  <si>
    <t>Jobseeker's Transitional Payment</t>
  </si>
  <si>
    <t>Youngest child must be under 14</t>
  </si>
  <si>
    <t>Must meet with PES to identify and access supports to prepare for full-time employment</t>
  </si>
  <si>
    <t>E + C: 180 days during last 12 months</t>
  </si>
  <si>
    <r>
      <t>Subsistence benefit (</t>
    </r>
    <r>
      <rPr>
        <i/>
        <sz val="9"/>
        <rFont val="Arial"/>
        <family val="2"/>
      </rPr>
      <t>toimetulekutoetus</t>
    </r>
    <r>
      <rPr>
        <sz val="9"/>
        <rFont val="Arial"/>
        <family val="2"/>
      </rPr>
      <t>)</t>
    </r>
  </si>
  <si>
    <t>All other benefits (except needs-based family benefit and extra family benefit for 3rd and each subsequent child)</t>
  </si>
  <si>
    <t>7. IRE: Only the child increment and not the parent benefit rate is shown as the maximum benefit for the one-parent family payment and Jobseeker's Transitional Payment.</t>
  </si>
  <si>
    <t>50 to 80% depending on level of reference earnings</t>
  </si>
  <si>
    <t xml:space="preserve">None permitted, but re-employment allowance gives recipients a proportion of their remaining benefit entitlement as a lump sum. </t>
  </si>
  <si>
    <t>Social security benefits including pensions and unemployment insurance (including re-employment allowance), child allowance, child rearing allowance.</t>
  </si>
  <si>
    <t>Lower rate for families with incomes above threshold</t>
  </si>
  <si>
    <t>Child Allowance</t>
  </si>
  <si>
    <t>1.8109%, benefit fully withdrawn if income exceeds higher income threshold that varies by family size</t>
  </si>
  <si>
    <t>Generally 0 but + for third and subsequent children if aged 3-12</t>
  </si>
  <si>
    <t>국민기초생활보장제도</t>
  </si>
  <si>
    <t>100%
70% on earned income for students or the elderly or if enrolled in job rehabilitation programme, self-support cooperative or self-support labour programme</t>
  </si>
  <si>
    <t>Phase-out begins at KRW 21-25 million (51-60% of AW)</t>
  </si>
  <si>
    <t>E: 6 in last 12 months;
C: member of insurance fund for last 12 months</t>
  </si>
  <si>
    <t xml:space="preserve">G: + 450 days maximum duration with children
</t>
  </si>
  <si>
    <t>G: - maximum duration of 75 days for formerly part-time employed</t>
  </si>
  <si>
    <t xml:space="preserve">E: at least 6 months (with at least 80 hours per month) in last 12, or 480 hours in 6 conituous months (with at least 50 hours per month)
</t>
  </si>
  <si>
    <t>G: + 450 days maximum duration for those with children</t>
  </si>
  <si>
    <t>60 weeks, then job development and guarantee programme for 90 weeks</t>
  </si>
  <si>
    <t>Unemployment insurance and assistance benefits, housing benefit, family and lone parent benefits</t>
  </si>
  <si>
    <t>G: + child rates generally increase with age</t>
  </si>
  <si>
    <t>G: + withdrawal rate falls from 100% to 75% after 6 months
G: + higher amount for children aged 9 to 14 after 6 months</t>
  </si>
  <si>
    <t>Varies by earnings level, maximum 6.4%</t>
  </si>
  <si>
    <t>Arbetslöshetsförsäkring inkomstrelaterad</t>
  </si>
  <si>
    <t>60 weeks, then job and development guarantee programme for 90 weeks</t>
  </si>
  <si>
    <t>From week 41: 70%
After 60 weeks, job and development guarantee programme available, which pays 65% of previous earnings</t>
  </si>
  <si>
    <t>Until week 40: 80%</t>
  </si>
  <si>
    <t>Arbetslöshetsförsäkring grundnivå</t>
  </si>
  <si>
    <t>Jobseeker Support</t>
  </si>
  <si>
    <t>Special Needs Grant, Temporary Additional Support</t>
  </si>
  <si>
    <t>Depends on number and age of children, higher than 66% of AW</t>
  </si>
  <si>
    <t>Prestación por desempleo - Nivel Contributivo</t>
  </si>
  <si>
    <t>Renta Mínima de Inserción</t>
  </si>
  <si>
    <r>
      <t>Child and youth allowance (</t>
    </r>
    <r>
      <rPr>
        <i/>
        <sz val="9"/>
        <rFont val="Arial"/>
        <family val="2"/>
      </rPr>
      <t>børnechecken</t>
    </r>
    <r>
      <rPr>
        <sz val="9"/>
        <rFont val="Arial"/>
        <family val="2"/>
      </rPr>
      <t>)</t>
    </r>
  </si>
  <si>
    <r>
      <t>Lone parent supplement to child and youth allowance (b</t>
    </r>
    <r>
      <rPr>
        <i/>
        <sz val="9"/>
        <rFont val="Arial"/>
        <family val="2"/>
      </rPr>
      <t>ørnetilskud til enlige</t>
    </r>
    <r>
      <rPr>
        <sz val="9"/>
        <rFont val="Arial"/>
        <family val="2"/>
      </rPr>
      <t>)</t>
    </r>
  </si>
  <si>
    <r>
      <t>Alimony advance (maintenance) payments (</t>
    </r>
    <r>
      <rPr>
        <i/>
        <sz val="9"/>
        <rFont val="Arial"/>
        <family val="2"/>
      </rPr>
      <t>børnetilskud ved faderskabssag eller ukendt far</t>
    </r>
    <r>
      <rPr>
        <sz val="9"/>
        <rFont val="Arial"/>
        <family val="2"/>
      </rPr>
      <t>)</t>
    </r>
  </si>
  <si>
    <t>n.a</t>
  </si>
  <si>
    <t>8. USA: The information reflects the situation of the Michigan unemployment benefit scheme. Emergency Unemployment Compensation and Extended Benefits might be paid after exhaustion of regular UI but were not activated in 2014.</t>
  </si>
  <si>
    <r>
      <t>United 
States</t>
    </r>
    <r>
      <rPr>
        <vertAlign val="superscript"/>
        <sz val="9"/>
        <rFont val="Arial"/>
        <family val="2"/>
      </rPr>
      <t>(12)</t>
    </r>
  </si>
  <si>
    <t>Need to pass two means tests or all household members must be on TANF, State General Assistance or SSI</t>
  </si>
  <si>
    <t>Unemployment insurance and family benefits (TANF)</t>
  </si>
  <si>
    <t>13. USA: Amounts shown for Supplemental Nutrition Assistance Program (SNAP) only. See sheet "Familiy provisions" table for information on the Temporary Assistance for Needy Families (TANF) programme.</t>
  </si>
  <si>
    <t>Varies by number of children:
15.98% if one child 
21.06% if two or more children</t>
  </si>
  <si>
    <t>More generous basic allowance for lone parents</t>
  </si>
  <si>
    <t>Preferential personal income tax rules for lone parents</t>
  </si>
  <si>
    <t>10. USA: TANF rate for family of two, i.e. lone parent with one child.</t>
  </si>
  <si>
    <t>Participatiewet</t>
  </si>
  <si>
    <t>21 (if not a lone parent or other exceptional circumstance)</t>
  </si>
  <si>
    <t>Benefit for low-income households based on current rent levels and taxable income. Households have to pay part of rent ("standard rent") themselves; benefit covers 100% above this up to a "quality allowance limit" plus 65% of the remainder up to a ceiling/cap.</t>
  </si>
  <si>
    <t>If recipient of child benefit and income below a certain ceiling</t>
  </si>
  <si>
    <t>9. NLD: AKW benefit rules for children born after 1 January 1995.</t>
  </si>
  <si>
    <t>Tax credit and additional tax credit for single parents</t>
  </si>
  <si>
    <t>Must be employed in order to be eligible for additional tax credit</t>
  </si>
  <si>
    <t>Income dependent combination credit for single parents or partner with lowest income</t>
  </si>
  <si>
    <t>Income dependent combination credit - for single parents or partner with lowest income</t>
  </si>
  <si>
    <t>Additional tax credit for single parents</t>
  </si>
  <si>
    <t>Dagpenger under arbeidsløshet</t>
  </si>
  <si>
    <t>G: - duration 12 months if previous income below certain threshold</t>
  </si>
  <si>
    <r>
      <t>Norway</t>
    </r>
    <r>
      <rPr>
        <vertAlign val="superscript"/>
        <sz val="9"/>
        <rFont val="Arial"/>
        <family val="2"/>
      </rPr>
      <t>(10)</t>
    </r>
  </si>
  <si>
    <t>økonomisk stønad</t>
  </si>
  <si>
    <t>Allowance aims to secure those who have a combination of high housing costs and low income a reasonable accommodation. The benefit depends on the household’s total economic resources and housing costs. It is calculated as 70% of the difference between the housing expenses (up to a maximum which varies by region) and the "household's own expense" which depends on taxed income and wealth.</t>
  </si>
  <si>
    <r>
      <t>Child benefit (</t>
    </r>
    <r>
      <rPr>
        <i/>
        <sz val="9"/>
        <rFont val="Arial"/>
        <family val="2"/>
      </rPr>
      <t>barnetrygd</t>
    </r>
    <r>
      <rPr>
        <sz val="9"/>
        <rFont val="Arial"/>
        <family val="2"/>
      </rPr>
      <t>)</t>
    </r>
  </si>
  <si>
    <r>
      <t>Child benefit (</t>
    </r>
    <r>
      <rPr>
        <i/>
        <sz val="9"/>
        <rFont val="Arial"/>
        <family val="2"/>
      </rPr>
      <t>barnetrygd</t>
    </r>
    <r>
      <rPr>
        <sz val="9"/>
        <rFont val="Arial"/>
        <family val="2"/>
      </rPr>
      <t>) - supplement for lone parents</t>
    </r>
  </si>
  <si>
    <r>
      <t>Child benefit (</t>
    </r>
    <r>
      <rPr>
        <i/>
        <sz val="9"/>
        <rFont val="Arial"/>
        <family val="2"/>
      </rPr>
      <t>barnetrygd</t>
    </r>
    <r>
      <rPr>
        <sz val="9"/>
        <rFont val="Arial"/>
        <family val="2"/>
      </rPr>
      <t>) - young child supplement for lone parents</t>
    </r>
  </si>
  <si>
    <t>Recipient of Transitional benefit for lone parents</t>
  </si>
  <si>
    <r>
      <t>Transitional benefit for lone parents (</t>
    </r>
    <r>
      <rPr>
        <i/>
        <sz val="9"/>
        <rFont val="Arial"/>
        <family val="2"/>
      </rPr>
      <t>overgangsstønad</t>
    </r>
    <r>
      <rPr>
        <sz val="9"/>
        <rFont val="Arial"/>
        <family val="2"/>
      </rPr>
      <t>)</t>
    </r>
  </si>
  <si>
    <r>
      <t>Advance payments of child maintenance for lone parents (</t>
    </r>
    <r>
      <rPr>
        <i/>
        <sz val="9"/>
        <rFont val="Arial"/>
        <family val="2"/>
      </rPr>
      <t>bidragsforskott</t>
    </r>
    <r>
      <rPr>
        <sz val="9"/>
        <rFont val="Arial"/>
        <family val="2"/>
      </rPr>
      <t>)</t>
    </r>
  </si>
  <si>
    <t xml:space="preserve"> -- </t>
  </si>
  <si>
    <r>
      <t>Cash benefit for families with small children/ Home care benefit (</t>
    </r>
    <r>
      <rPr>
        <i/>
        <sz val="9"/>
        <rFont val="Arial"/>
        <family val="2"/>
      </rPr>
      <t>kontantstøtte</t>
    </r>
    <r>
      <rPr>
        <sz val="9"/>
        <rFont val="Arial"/>
        <family val="2"/>
      </rPr>
      <t>)</t>
    </r>
  </si>
  <si>
    <t>13-23 months</t>
  </si>
  <si>
    <t>Child not in public kindergarten</t>
  </si>
  <si>
    <r>
      <t>Tax allowance for lone parents (</t>
    </r>
    <r>
      <rPr>
        <i/>
        <sz val="9"/>
        <rFont val="Arial"/>
        <family val="2"/>
      </rPr>
      <t>særfradrag for enslige forsørgere</t>
    </r>
    <r>
      <rPr>
        <sz val="9"/>
        <rFont val="Arial"/>
        <family val="2"/>
      </rPr>
      <t>)</t>
    </r>
  </si>
  <si>
    <t xml:space="preserve"> - </t>
  </si>
  <si>
    <t>Επιχορήγηση για το ενοίκιο και τους τόκους στεγαστικού δανείου</t>
  </si>
  <si>
    <r>
      <t xml:space="preserve">Single Parent Benefit </t>
    </r>
    <r>
      <rPr>
        <i/>
        <sz val="9"/>
        <rFont val="Arial"/>
        <family val="2"/>
      </rPr>
      <t>(Επίδομα μονογονεϊκής οικογένειας)</t>
    </r>
  </si>
  <si>
    <t>4. In Australia recipients of NSA, YA and PP are also entitiled to an Energy Supplement to offset the impacts of carbon pricing and the Income Support bonus to assist with unexpected costs.</t>
  </si>
  <si>
    <t xml:space="preserve">Paid to eligible individuals and families who rent in the private rental market and community housing and are recipients of social security pensions or benefits and/or receiving more than the minimum rate of FTB Part A. Benefit amount 75% of rent above threshold until maximum reached. Benefit withdrawn after unemployment benefits fully withdrawn for those without children, and alongside FTB Part A for those with children. </t>
  </si>
  <si>
    <t>Single income family supplement</t>
  </si>
  <si>
    <t>10% for lone parents and higher earner in couples
15% for lower earner in couples</t>
  </si>
  <si>
    <t>Education and participation package; specific housing benefit for unemployment benefit II recipients; insurance contributions; additional allowances for specific needs (e.g. disability, pregnancy); one-off benefits</t>
  </si>
  <si>
    <t>Werklooshiedswet;
Toeslagenwet;
Inkomensvoorziening Oudere Werklozen</t>
  </si>
  <si>
    <t>lump sum payment</t>
  </si>
  <si>
    <t xml:space="preserve">Lump-sum of EUR 187.20 (based on basic unemployment benefit; lower in case of part-time or low income worker)
</t>
  </si>
  <si>
    <t>E + C: 60 days in the year before unemployment; as unemployed for 3 months</t>
  </si>
  <si>
    <t>3 payments of EUR 216 each (based on basic unemployment benefit)</t>
  </si>
  <si>
    <t>5. GRC: Employers in some sectors grant an additional 5% of work income per worker per child and 10% for the spouse (independent of her income).</t>
  </si>
  <si>
    <t>17(23)</t>
  </si>
  <si>
    <r>
      <t>Basic family benefit (non-income related) (</t>
    </r>
    <r>
      <rPr>
        <i/>
        <sz val="9"/>
        <rFont val="Arial"/>
        <family val="2"/>
      </rPr>
      <t>ενιαίο επίδομα τέκνων</t>
    </r>
    <r>
      <rPr>
        <sz val="9"/>
        <rFont val="Arial"/>
        <family val="2"/>
      </rPr>
      <t>)</t>
    </r>
  </si>
  <si>
    <t>T (under conditions)</t>
  </si>
  <si>
    <t>3. All amounts are shown on an annualised basis. "--" indicates that there is no such provision. AW = Average Wage of a full-time private sector employee. Social assistance rates include potential supplements and take account of other benefits in the means test. Actual rent is set to zero. Social assistance per child is calculated as 50% of the difference between the social assistance benefits that accrue to a couple with two children aged four and six and that received by a couple without children. Similarly, child-related payments for lone parents are calculated as 50% of the difference between the social assistance benefits that accrue to a lone parent with two children aged four and six and that received by a single person without children. In some countries the SA benefit for the lone parent may be lower than for a single person (or even zero) if income-dependent lone parent benefits are paid and are part of the means test for SA or cannot be paid simultaneously (see the specific comments for those countries).</t>
  </si>
  <si>
    <t>Assurance Chômage / Arbeitslosenversicherung</t>
  </si>
  <si>
    <t>10-20 depending on income (see also column [13])</t>
  </si>
  <si>
    <t>Aide sociale / Sozialhilfe / Assistenza sociale</t>
  </si>
  <si>
    <t>Requirement to make use of all other private and/or public entitlements as a primary source of support</t>
  </si>
  <si>
    <r>
      <t>Family benefit (</t>
    </r>
    <r>
      <rPr>
        <i/>
        <sz val="9"/>
        <rFont val="Arial"/>
        <family val="2"/>
      </rPr>
      <t>Allocation familiales / Familienzulagen</t>
    </r>
    <r>
      <rPr>
        <sz val="9"/>
        <rFont val="Arial"/>
        <family val="2"/>
      </rPr>
      <t>)</t>
    </r>
  </si>
  <si>
    <t>15 (25)</t>
  </si>
  <si>
    <t>138 (see also column [13])</t>
  </si>
  <si>
    <t>The amount of benefit is calculated by "credit score system" granting credit points of entitlement according to several parameters: family situation, number of children in the family, number of siblings of each parent, other benefits given to the family, age, income, benefits for particular groups, and living areas.</t>
  </si>
  <si>
    <t>Study grant (מענק לימודים)</t>
  </si>
  <si>
    <t xml:space="preserve">Lone-parent family or family with 4 or more children that receives income support
</t>
  </si>
  <si>
    <t>8 calendar days (3 months if dismissed due to own fault)</t>
  </si>
  <si>
    <t>3 (30 for voluntary insured)</t>
  </si>
  <si>
    <t>156 days</t>
  </si>
  <si>
    <t>First month: 50%</t>
  </si>
  <si>
    <t>Until day 10: flat rate of 30% of AW
From day 11 until month 3: 70% of reference earnings</t>
  </si>
  <si>
    <t>Between 80% and 36% depending on age and level of reference earnings</t>
  </si>
  <si>
    <t>60% of basic insurable earnings plus 50% of earnings in excess of this amount</t>
  </si>
  <si>
    <t>Until month 3: 60%</t>
  </si>
  <si>
    <t>From month 7: 30%</t>
  </si>
  <si>
    <t>G: - if less than 20 years of contributions (initial benefit is 55% of reference earnings if 10-19 years of contributions and 50% if 1-9 years, final benefit is half of initial benefit in each case)
G: + if more than 30 years of contributions (initial benefit is 65% of reference earnings and final benefit 32.5% of reference earnings)</t>
  </si>
  <si>
    <t>Weekly benefit rate is 4.1% of reference earnings (see column [8])</t>
  </si>
  <si>
    <t>Gross minus SSCs</t>
  </si>
  <si>
    <t xml:space="preserve">Gross </t>
  </si>
  <si>
    <t>Generally none permitted (only for artistic self-employment)</t>
  </si>
  <si>
    <t xml:space="preserve">Work for a maximum of 3 days a week is permitted. The benefit is reduced by the amount of income earned. </t>
  </si>
  <si>
    <t>If current earnings are below reference earnings, benefit is the difference between current earnings and 75% of reference earnings. Otherwise no benefit payable</t>
  </si>
  <si>
    <t>None permitted except for the CIG schemes which intervene for work interruptions</t>
  </si>
  <si>
    <t xml:space="preserve">In general, benefit may be accumulated with earnings from part-time work or self-employment if earnings are below the UI amount; in this case UI benefit is equal to the difference between 1.35 times UI benefit and earnings  </t>
  </si>
  <si>
    <t>None permitted, but lump-sum payment of 50% of remaining benefit claim (generally 6 months) if recipient takes up work after at least 3 months of unemployment</t>
  </si>
  <si>
    <t xml:space="preserve">Weekly benefit amount reduced by 50 cents for every dollar earned during that week; ineligible to benefits if earnings more than 1.5 times weekly benefit
</t>
  </si>
  <si>
    <t>None permitted, except special types of work with income up to half the minimum wage</t>
  </si>
  <si>
    <t>When taking up work, 30% of benefit is paid for the rest of the entitlement period</t>
  </si>
  <si>
    <t>Benefit reduced in proportion with working hours, full withdrawal when working more than half-time</t>
  </si>
  <si>
    <t>Taking up part-time work paid less than the full-time national minimum wage may entitle inidviduals to 50% of their remaining unemployment insurance benefit</t>
  </si>
  <si>
    <t>G: - 9 months duration if contribution record less than 10 years; 6 months if less than 5 years</t>
  </si>
  <si>
    <t>G: + unlimited employment disregards for above 50</t>
  </si>
  <si>
    <t xml:space="preserve">G: - duration from 5 to 12 months depending on the number of days worked during previous 14 months </t>
  </si>
  <si>
    <t>G: +/- lower maximum duration for those aged under 35 years, higher for those aged 45 or older</t>
  </si>
  <si>
    <t>G: + benefit duration (12 months aged 50-54, 14 months if aged 55 or older)
G: - if contritbution record insufficient, can receive Mini-ASPI: same benefit amount but shorter duration equal to 50% of contribution record in past year</t>
  </si>
  <si>
    <t>G: - shorter duration if contribution record less than 10 years
G: +/- longer (shorter) duration for those aged over 50 (under 30)</t>
  </si>
  <si>
    <t>G: - if aged 19-21: benefit of 70% of minimum wage, - if aged under 18: 40% of minimum wage if education not completed; 
G: + longer benefit duration if aged 50 or over and more than 20 years of contributions</t>
  </si>
  <si>
    <t>G: - lower benefit amount for those with shorter contribution period (see note (7))</t>
  </si>
  <si>
    <t>G: + benefit duration increases with age;
G: + benefit duration increases with contribution history</t>
  </si>
  <si>
    <t>G: + duration longer for those aged over 50; 
G: - duration shorted for those with less than 15 years of contributions;
E: + shorter contribution requirement for those aged under 30</t>
  </si>
  <si>
    <t>G: +/- duration from 3 to 15 months depending on employment history; 
G: + extended benefit duration if within 5 years of retirement age with at least 32 years of contributions</t>
  </si>
  <si>
    <t>G: + up to 9 months duration if insurance record more than 25 years
G: + benefit duration extended by 2 months of benefit for unemployed within 5 years of retirement age</t>
  </si>
  <si>
    <t>G: + longer benefit duration if aged 50 or over</t>
  </si>
  <si>
    <t>G: + longer benefit duration for those aged 50 or over</t>
  </si>
  <si>
    <t xml:space="preserve">G: - minimum benefit (82% of maximum, see column [10]) for unemployed directly after graduation and lower benefit (50% of maximum) for those &lt; age 25 and without sufficient education
G: - lower maximum benefit for those aged 60-65 who have contributed to an early retirement scheme
G: + several temporary benefits at reduced rates after exhaustion of regular unemployment benefits possible, depending on entry into unemployment. </t>
  </si>
  <si>
    <t xml:space="preserve">G: - If employment record less than 3 years, only the basic benefit is paid for the last 100 days;
G: + longer duration for older workers under cetain conditions;
G: + increased amount if employment record at least 20 years
</t>
  </si>
  <si>
    <t>G: - lower maximum amount for those aged under 30;
G: + higher maximum amount for those aged 45-59;
G: +/- due to different parameters for 60 to 65 year olds; lump sum payments for 65+ year olds;
G: - shorter benefit durations for those aged under 25 and those aged 60-64;
G: + longer benefit durations for those aged 45-59</t>
  </si>
  <si>
    <t>G: - shorter benefit duration if any gaps in employment record in last 6 years</t>
  </si>
  <si>
    <t>G: + longer maximum duration if aged 55 or over</t>
  </si>
  <si>
    <t>G: - lower benefit rate if aged under 25</t>
  </si>
  <si>
    <t>G: + family supplement for those with children</t>
  </si>
  <si>
    <t>G: + higher replacement rate for those with dependents from 2nd year of benefit receipt 
G: - lower replacement rate for those with a non-dependent spouse from 2nd year of benefit receipt</t>
  </si>
  <si>
    <t>G: +  replacement rate 67% of net earnings if at least one dependent child</t>
  </si>
  <si>
    <t>G: + benefit amount 10% higher for every dependent family member of beneficiary</t>
  </si>
  <si>
    <t>G: + supplement of 1% of AW per child aged under 18</t>
  </si>
  <si>
    <t>G: + supplement for each dependent child; 
G: + supplement for dependent spouse</t>
  </si>
  <si>
    <t>G: + longer maximum duration if 3 or more dependents</t>
  </si>
  <si>
    <t>G: + 85% replacement rate for those with dependent children</t>
  </si>
  <si>
    <t>E: + no waiting period for those with dependent children aged under 25
G: + replacement rate of 80% and higher maximum benefit for those with dependent children aged under 25</t>
  </si>
  <si>
    <t>G: + supplements for dependent spouse (8% of AW) and children (4% of AW per child up to a maximum of 2)</t>
  </si>
  <si>
    <t>G: + higher flat rate for households of two or more</t>
  </si>
  <si>
    <r>
      <t>Malta</t>
    </r>
    <r>
      <rPr>
        <vertAlign val="superscript"/>
        <sz val="9"/>
        <rFont val="Arial"/>
        <family val="2"/>
      </rPr>
      <t>(6)</t>
    </r>
  </si>
  <si>
    <t>G: + higher allowance during participation in employment measures</t>
  </si>
  <si>
    <t>G: + longer benefit duration for those deemed difficult to re-employ;
E: - longer contribution requirement for those not unemployed as a result of bankruptcy or dismissal;
G: - shorter benefit duration for those not unemployed as a result of bankruptcy or dismissal</t>
  </si>
  <si>
    <r>
      <t>G: + benefit topped up to 70-100% of minimum wage if low income depending on family situation (</t>
    </r>
    <r>
      <rPr>
        <i/>
        <sz val="9"/>
        <rFont val="Arial"/>
        <family val="2"/>
      </rPr>
      <t>Toeslagenwet</t>
    </r>
    <r>
      <rPr>
        <sz val="9"/>
        <rFont val="Arial"/>
        <family val="2"/>
      </rPr>
      <t xml:space="preserve">) </t>
    </r>
  </si>
  <si>
    <r>
      <t>G: +/- benefit duration varies by contribution record;
G: + extended duration for unemployed aged between 60 and legal retirement age (</t>
    </r>
    <r>
      <rPr>
        <i/>
        <sz val="9"/>
        <rFont val="Arial"/>
        <family val="2"/>
      </rPr>
      <t>Inkomensvoorziening Oudere Werklozen</t>
    </r>
    <r>
      <rPr>
        <sz val="9"/>
        <rFont val="Arial"/>
        <family val="2"/>
      </rPr>
      <t>)</t>
    </r>
  </si>
  <si>
    <t>G: - duration 180 days if unemployment rate in the local area does not exceed 150% of the average unemployment rate in the country</t>
  </si>
  <si>
    <t>G: + if participation in specific ALMP;
G: + if in need (UI below certain level)</t>
  </si>
  <si>
    <t>G: + lump-sum bonus of 2 % of AW;
G: + additional benefit through supplementary allowance if income less social security contributions below 41% of AW</t>
  </si>
  <si>
    <r>
      <t xml:space="preserve">Unemployment payments via </t>
    </r>
    <r>
      <rPr>
        <i/>
        <sz val="9"/>
        <rFont val="Arial"/>
        <family val="2"/>
      </rPr>
      <t>Newstart Allowance</t>
    </r>
    <r>
      <rPr>
        <sz val="9"/>
        <rFont val="Arial"/>
        <family val="2"/>
      </rPr>
      <t xml:space="preserve"> (NSA) if 22 or older and </t>
    </r>
    <r>
      <rPr>
        <i/>
        <sz val="9"/>
        <rFont val="Arial"/>
        <family val="2"/>
      </rPr>
      <t>Youth Allowance</t>
    </r>
    <r>
      <rPr>
        <sz val="9"/>
        <rFont val="Arial"/>
        <family val="2"/>
      </rPr>
      <t xml:space="preserve"> (YA) if under 22; </t>
    </r>
    <r>
      <rPr>
        <i/>
        <sz val="9"/>
        <rFont val="Arial"/>
        <family val="2"/>
      </rPr>
      <t xml:space="preserve">Parenting Payment (couple) </t>
    </r>
    <r>
      <rPr>
        <sz val="9"/>
        <rFont val="Arial"/>
        <family val="2"/>
      </rPr>
      <t>with one member caring for a child under six similar to NSA</t>
    </r>
  </si>
  <si>
    <r>
      <t>Unemployment assistance for young people (</t>
    </r>
    <r>
      <rPr>
        <i/>
        <sz val="9"/>
        <rFont val="Arial"/>
        <family val="2"/>
      </rPr>
      <t>Επίδομα σε Νέους από 20-29 ετών, Εθνικό Σύστημα Προστασίας Ανεργίας, ΕΣΠΑ</t>
    </r>
    <r>
      <rPr>
        <sz val="9"/>
        <rFont val="Arial"/>
        <family val="2"/>
      </rPr>
      <t>)</t>
    </r>
  </si>
  <si>
    <r>
      <t>Unemployment benefit for long-term unemployed (</t>
    </r>
    <r>
      <rPr>
        <i/>
        <sz val="9"/>
        <rFont val="Arial"/>
        <family val="2"/>
      </rPr>
      <t>Επίδομα Μακροχρονίως Ανέργων</t>
    </r>
    <r>
      <rPr>
        <sz val="9"/>
        <rFont val="Arial"/>
        <family val="2"/>
      </rPr>
      <t>)</t>
    </r>
  </si>
  <si>
    <r>
      <t>Special aid after the end of payment of the unemployment allowance (</t>
    </r>
    <r>
      <rPr>
        <i/>
        <sz val="9"/>
        <rFont val="Arial"/>
        <family val="2"/>
      </rPr>
      <t>Ειδικό βοήθημα μετά τη Λήξη της Τακτικής Επιδοτησης Ανεργίας</t>
    </r>
    <r>
      <rPr>
        <sz val="9"/>
        <rFont val="Arial"/>
        <family val="2"/>
      </rPr>
      <t>)</t>
    </r>
  </si>
  <si>
    <r>
      <t>Special aid for unemployed after a three-month registration (</t>
    </r>
    <r>
      <rPr>
        <i/>
        <sz val="9"/>
        <rFont val="Arial"/>
        <family val="2"/>
      </rPr>
      <t>Ειδικό βοήθημα μετά από τρίμηνη παραμονή στο Μητρώο Ανέργων</t>
    </r>
    <r>
      <rPr>
        <sz val="9"/>
        <rFont val="Arial"/>
        <family val="2"/>
      </rPr>
      <t>)</t>
    </r>
  </si>
  <si>
    <t>UI: UI expired, 20-66 years old, registered as unemployed for 12 months</t>
  </si>
  <si>
    <t>UI: UI expired</t>
  </si>
  <si>
    <t>E: Registered as unemployed for 1 year, new entrant into labour market, 20-29 years old</t>
  </si>
  <si>
    <t>E + C: 12 contributions in past 24 months; at last 3 months continuous contributions with the same employer, resources of the individual account insufficient</t>
  </si>
  <si>
    <t>12 with a maximum of 5 (2) withdrawals for those previously employed on a permanent (fixed term) contract</t>
  </si>
  <si>
    <t>3 payments 3 months apart</t>
  </si>
  <si>
    <t>Flat rate of EUR 112.22/month</t>
  </si>
  <si>
    <t>Flat-rate of EUR 32.66/day</t>
  </si>
  <si>
    <t>Flat rate of EUR 391/month</t>
  </si>
  <si>
    <t>Flat rate of EUR 16.11 net/day</t>
  </si>
  <si>
    <t>Flat rate of AUD 510.50/fortnight plus energy supplement of AUD 8.70, plus Income Support Bonus of AUD 107.80 paid twice a year</t>
  </si>
  <si>
    <t>Flat rate of EUR 73.37/month</t>
  </si>
  <si>
    <t>Flat rate of EUR 200/month</t>
  </si>
  <si>
    <t>Flat rate of EUR 188/week</t>
  </si>
  <si>
    <t>Flat rate of NZD 934.36/four weeks</t>
  </si>
  <si>
    <t>Flat rate of SEK 320/day</t>
  </si>
  <si>
    <t>Flat rate of GBP 72.40/week</t>
  </si>
  <si>
    <t>Flat rate of EUR 100.48/week</t>
  </si>
  <si>
    <t>Self-employment is not permitted, no other means-test</t>
  </si>
  <si>
    <t>Benefit not paid for days worked</t>
  </si>
  <si>
    <t xml:space="preserve">G: + no means test for those aged 55 and over.  </t>
  </si>
  <si>
    <t>G: - lower amount for those aged under 25</t>
  </si>
  <si>
    <t>E: - not available for under 20 year olds</t>
  </si>
  <si>
    <t>G: + per child supplement;
G: + higher disregard for couples</t>
  </si>
  <si>
    <t>G: + child supplement</t>
  </si>
  <si>
    <t xml:space="preserve">G: + benefit amount increased by 10% for every dependent family member </t>
  </si>
  <si>
    <t>G: + supplement for each dependent child;
G: + supplement for dependent spouse</t>
  </si>
  <si>
    <t>G: + higher rates for lone parents and couples</t>
  </si>
  <si>
    <t>G: + higher rate for couples</t>
  </si>
  <si>
    <t>G: + longer maximum duration of 30 months if previously entitled to UI and has dependents;
G: + if at least two dependents</t>
  </si>
  <si>
    <t>G: - lower benefit amounts for under 18 year olds, and single people without children aged 18 to 24</t>
  </si>
  <si>
    <t>G: + increases for each dependent</t>
  </si>
  <si>
    <t>G: +/- lower benefit rates but higher income disregards for those aged under 22 on YA;
G: + single people aged 60 or over entitled to higher rate after receiving support for 9 consecutive months</t>
  </si>
  <si>
    <t>G: + more generous rate for those with children; lone parents may opt for Parenting Payment (Single) instead (see table on family benefits).
G: - individual rate lower for those in couples than for single people</t>
  </si>
  <si>
    <t xml:space="preserve">G: + spouse addition, which is higher if they are unemployed;
G: + child additions varying by age, and supplements for school-aged children;
G: + lone parent supplement;
G: + thresholds at which withdrawal rates increase higher for those with children
</t>
  </si>
  <si>
    <t>G: + during participation in employment measures;
G: - for young persons living with their parents looking for their first job</t>
  </si>
  <si>
    <t>18 with exceptions if claimant has children, is pregnant or married or has had a partner for more than 2 years</t>
  </si>
  <si>
    <t>28 (unless married, a single parent, an orhpan, or disabled)</t>
  </si>
  <si>
    <t>Have to sign a Participation Agreement that sets out employment assistance activities (e.g. looking for work, improving skills)</t>
  </si>
  <si>
    <t xml:space="preserve">School attendance of 85% for children (6 to 18 years), regular attendance to health check-ups for children under 6 </t>
  </si>
  <si>
    <t>Must be available for labor market/ activation measures (see also column [22])</t>
  </si>
  <si>
    <t>Participation in self-help programme</t>
  </si>
  <si>
    <t xml:space="preserve">Job-search and work-availability obligations extend also to claimant's spouse </t>
  </si>
  <si>
    <t>Work test obligations apply to family members if no children or youngest child aged 14 or older</t>
  </si>
  <si>
    <t>Partner and parents of the claimant are required to support the claimant as needed if possible</t>
  </si>
  <si>
    <t>Claimant's partner must not work more than 16 hours per week. Claimant's partner also subject to job search requirements if no dependent children</t>
  </si>
  <si>
    <t>Unemployed must register with the territorial unit of the Employment Agency at least 6 months before filing application for social support and not have refused job offers</t>
  </si>
  <si>
    <t>If employed must work more than 2/3 of standard working hours (though in some cases part-time is allowed)</t>
  </si>
  <si>
    <t>Those under 22 receiving YA without upper secondary education must be participating in full-time training or education</t>
  </si>
  <si>
    <t>Behavioural requirements may be applied also to other adults in the household</t>
  </si>
  <si>
    <t>Each family member has to be active in supporting themselves</t>
  </si>
  <si>
    <t>Municipal with national guidelines</t>
  </si>
  <si>
    <t>Cantonal with national guidelines</t>
  </si>
  <si>
    <t>Allowances for housing and regularly-recurring special needs</t>
  </si>
  <si>
    <t xml:space="preserve">Housing allowance </t>
  </si>
  <si>
    <t>Additional allowances for housing and healthcare expenses</t>
  </si>
  <si>
    <r>
      <t>Rent assistance (see table on housing benefit) and expensive life allowance (</t>
    </r>
    <r>
      <rPr>
        <i/>
        <sz val="9"/>
        <rFont val="Arial"/>
        <family val="2"/>
      </rPr>
      <t>Allocation de vie chère</t>
    </r>
    <r>
      <rPr>
        <sz val="9"/>
        <rFont val="Arial"/>
        <family val="2"/>
      </rPr>
      <t>)</t>
    </r>
  </si>
  <si>
    <t>Housing supplement</t>
  </si>
  <si>
    <t>n.a. - lone parents receive special social assistance benefit (see family provisions sheet)</t>
  </si>
  <si>
    <t>Heating supplement</t>
  </si>
  <si>
    <t>Energy Supplement, Income Support Bonus paid twice a year</t>
  </si>
  <si>
    <t>Holiday allowance</t>
  </si>
  <si>
    <t>Housing allowance, heating and electricity allowance</t>
  </si>
  <si>
    <t>Housing allowance, supplements for extrarodinary needs, care and assistance (including childcare) and disability.</t>
  </si>
  <si>
    <t>Benefit converted to RSA activité when already in work: see employment-related provisions sheet
When taking up work, retain existing RSA socle for first 3 months</t>
  </si>
  <si>
    <t>NZD 80 per week (7% of AW)</t>
  </si>
  <si>
    <t>Earnings disregard of up to DKK 25 per hour worked for maximum of 160 hours per month per person</t>
  </si>
  <si>
    <t xml:space="preserve">No, but benefit amount increased by 28% if claimant working 60 to 128 hours per month, 56% if more than 128 hours; by 28% for another adult if they work 60 to 128 hours per month and 56% if more than 128 hours </t>
  </si>
  <si>
    <t>Minimex: 100%
AFG: Benefit fully withdrawn if income exceeds threshold</t>
  </si>
  <si>
    <t>Benefit fully withdrawn if able to work more than 3 hours/week</t>
  </si>
  <si>
    <t>60% for lone parents and those aged 55 or over
62.5% for couples aged under 55 with one child
67.5% for couples aged under 55 with two or more children
70% for those without children aged under 55</t>
  </si>
  <si>
    <t xml:space="preserve">80%, reduced to 50% during the first 12 months of work
</t>
  </si>
  <si>
    <t xml:space="preserve">100% for first six months, then 75% </t>
  </si>
  <si>
    <t>No but benefit increased by 15% if at least one family member employed</t>
  </si>
  <si>
    <t>100% 
Benefit not reduced for first 3 months if new job lifts family out of social assistance</t>
  </si>
  <si>
    <t>Benefit fully withdrawn if income above defined poverty threshold</t>
  </si>
  <si>
    <t xml:space="preserve">30% 
Benefit fully withdrawn if basic gross (counted net) monthly income above 130 (100) % of household-size specific poverty guideline
</t>
  </si>
  <si>
    <t>G: + higher rates for older children</t>
  </si>
  <si>
    <t>G: + more generous rates and means test for those aged 55 or over;
G: - lower rates for those aged under 25</t>
  </si>
  <si>
    <t>G: + higher rates for those aged under 20;
G: - lower rates for those aged over 40;
G: + higher rates for older children</t>
  </si>
  <si>
    <t>G: - lower rates for those aged under 21</t>
  </si>
  <si>
    <t>G: - lower amount for young people aged under 25</t>
  </si>
  <si>
    <t>G: - lower benefit amount for those aged under 30</t>
  </si>
  <si>
    <t>G: - lower rates for those aged under 25 without children</t>
  </si>
  <si>
    <t>G: + higher rate for children aged over 14</t>
  </si>
  <si>
    <t>G: + single people aged 60 or over entitled to higher rate after receiving support for 9 continuous months</t>
  </si>
  <si>
    <t>G: - lower rate for second and subsequent children</t>
  </si>
  <si>
    <t>G: + higher rates if working (see earnings disregards column)</t>
  </si>
  <si>
    <t>G: + more generous earnings disregards for those with children</t>
  </si>
  <si>
    <t>G: + benefit increased by 15% if at least one family member employed</t>
  </si>
  <si>
    <r>
      <t>Subsistence benefit calculation considers 18m</t>
    </r>
    <r>
      <rPr>
        <vertAlign val="superscript"/>
        <sz val="9"/>
        <rFont val="Arial"/>
        <family val="2"/>
      </rPr>
      <t>2</t>
    </r>
    <r>
      <rPr>
        <sz val="9"/>
        <rFont val="Arial"/>
        <family val="2"/>
      </rPr>
      <t xml:space="preserve"> per each family member and in addition 15m</t>
    </r>
    <r>
      <rPr>
        <vertAlign val="superscript"/>
        <sz val="9"/>
        <rFont val="Arial"/>
        <family val="2"/>
      </rPr>
      <t>2</t>
    </r>
    <r>
      <rPr>
        <sz val="9"/>
        <rFont val="Arial"/>
        <family val="2"/>
      </rPr>
      <t xml:space="preserve"> per family as the standard limit size. The average housing costs covered by the subsistence benefit amount to 11% of AW.</t>
    </r>
  </si>
  <si>
    <t>Housing benefits are not universally available. Right to receive monthly benefit only for those renting public (state or communal) owned accommodations, whose income for the previous month is less than 150% of DMI and if they are: 1) orphans to 25 years of age; 2) lone persons over 70 years of age; 3) lone parents. The claimants who qualify for HB always pay part of the rent themselves and the other part is transferred from social funds to the state/commune budget.</t>
  </si>
  <si>
    <t>A number of schemes related to housing are available, but only the rent subsidy scheme is paid regularly. The benefit amount depends on household size and income band</t>
  </si>
  <si>
    <r>
      <t>Housing benefit for recipients of unemployment benefit II (</t>
    </r>
    <r>
      <rPr>
        <i/>
        <sz val="9"/>
        <rFont val="Arial"/>
        <family val="2"/>
      </rPr>
      <t>Kosten der Unterkunft</t>
    </r>
    <r>
      <rPr>
        <sz val="9"/>
        <rFont val="Arial"/>
        <family val="2"/>
      </rPr>
      <t>)</t>
    </r>
  </si>
  <si>
    <t>Rent (if  more than 50% of net income with a maximum of 12% of AW) is included in SNAP means test</t>
  </si>
  <si>
    <r>
      <t>Needs-based family benefit (</t>
    </r>
    <r>
      <rPr>
        <i/>
        <sz val="9"/>
        <rFont val="Arial"/>
        <family val="2"/>
      </rPr>
      <t>vajaduspõhine peretoetus</t>
    </r>
    <r>
      <rPr>
        <sz val="9"/>
        <rFont val="Arial"/>
        <family val="2"/>
      </rPr>
      <t>)</t>
    </r>
  </si>
  <si>
    <t>Maintenance allowance</t>
  </si>
  <si>
    <r>
      <t>Single child support allowance (</t>
    </r>
    <r>
      <rPr>
        <i/>
        <sz val="9"/>
        <rFont val="Arial"/>
        <family val="2"/>
      </rPr>
      <t>ΕΝΙΑΙΟ ΕΠΙΔΟΜΑ ΣΤΗΡΙΞΗΣ ΤΕΚΝΩΝ</t>
    </r>
    <r>
      <rPr>
        <sz val="9"/>
        <rFont val="Arial"/>
        <family val="2"/>
      </rPr>
      <t>)</t>
    </r>
  </si>
  <si>
    <r>
      <t>Child allowance (</t>
    </r>
    <r>
      <rPr>
        <i/>
        <sz val="9"/>
        <rFont val="Arial"/>
        <family val="2"/>
      </rPr>
      <t>קצבת ילדים</t>
    </r>
    <r>
      <rPr>
        <sz val="9"/>
        <rFont val="Arial"/>
        <family val="2"/>
      </rPr>
      <t>)</t>
    </r>
  </si>
  <si>
    <r>
      <t>Child allowance (</t>
    </r>
    <r>
      <rPr>
        <i/>
        <sz val="9"/>
        <rFont val="Arial"/>
        <family val="2"/>
      </rPr>
      <t>קצבת ילדים</t>
    </r>
    <r>
      <rPr>
        <sz val="9"/>
        <rFont val="Arial"/>
        <family val="2"/>
      </rPr>
      <t>) - Large family supplement</t>
    </r>
  </si>
  <si>
    <r>
      <t>Child Care tax credit (</t>
    </r>
    <r>
      <rPr>
        <i/>
        <sz val="9"/>
        <rFont val="Arial"/>
        <family val="2"/>
      </rPr>
      <t>자녀장려금</t>
    </r>
    <r>
      <rPr>
        <sz val="9"/>
        <rFont val="Arial"/>
        <family val="2"/>
      </rPr>
      <t>)</t>
    </r>
  </si>
  <si>
    <r>
      <t xml:space="preserve">Child benefit (based on law </t>
    </r>
    <r>
      <rPr>
        <i/>
        <sz val="9"/>
        <rFont val="Arial"/>
        <family val="2"/>
      </rPr>
      <t>Algemene Kinderbijslagwet</t>
    </r>
    <r>
      <rPr>
        <sz val="9"/>
        <rFont val="Arial"/>
        <family val="2"/>
      </rPr>
      <t>, AKW)</t>
    </r>
  </si>
  <si>
    <r>
      <t xml:space="preserve">Additional child benefit (based on law </t>
    </r>
    <r>
      <rPr>
        <i/>
        <sz val="9"/>
        <rFont val="Arial"/>
        <family val="2"/>
      </rPr>
      <t>Wet op het kindgebonden budget</t>
    </r>
    <r>
      <rPr>
        <sz val="9"/>
        <rFont val="Arial"/>
        <family val="2"/>
      </rPr>
      <t>, WKB)</t>
    </r>
  </si>
  <si>
    <r>
      <t>Lone parent support</t>
    </r>
    <r>
      <rPr>
        <sz val="9"/>
        <rFont val="Arial"/>
        <family val="2"/>
      </rPr>
      <t xml:space="preserve"> (see</t>
    </r>
    <r>
      <rPr>
        <i/>
        <sz val="9"/>
        <rFont val="Arial"/>
        <family val="2"/>
      </rPr>
      <t xml:space="preserve"> Jobseeker support </t>
    </r>
    <r>
      <rPr>
        <sz val="9"/>
        <rFont val="Arial"/>
        <family val="2"/>
      </rPr>
      <t>in Unemployment assistance and Social assistance)</t>
    </r>
  </si>
  <si>
    <r>
      <t>Family benefit (</t>
    </r>
    <r>
      <rPr>
        <i/>
        <sz val="9"/>
        <rFont val="Arial"/>
        <family val="2"/>
      </rPr>
      <t>Месечна помощ за дете до завършване на средно образование, но не повече от 20-
годишна възраст</t>
    </r>
    <r>
      <rPr>
        <sz val="9"/>
        <rFont val="Arial"/>
        <family val="2"/>
      </rPr>
      <t>)</t>
    </r>
  </si>
  <si>
    <r>
      <t>First grade school allowance (</t>
    </r>
    <r>
      <rPr>
        <i/>
        <sz val="9"/>
        <rFont val="Arial"/>
        <family val="2"/>
      </rPr>
      <t>Целева помощ за ученици</t>
    </r>
    <r>
      <rPr>
        <sz val="9"/>
        <rFont val="Arial"/>
        <family val="2"/>
      </rPr>
      <t>)</t>
    </r>
  </si>
  <si>
    <r>
      <t>Family benefit (</t>
    </r>
    <r>
      <rPr>
        <i/>
        <sz val="9"/>
        <rFont val="Arial"/>
        <family val="2"/>
      </rPr>
      <t>išmoka vaikui</t>
    </r>
    <r>
      <rPr>
        <sz val="9"/>
        <rFont val="Arial"/>
        <family val="2"/>
      </rPr>
      <t>)</t>
    </r>
  </si>
  <si>
    <r>
      <t xml:space="preserve">Higher per child supplement in </t>
    </r>
    <r>
      <rPr>
        <i/>
        <sz val="9"/>
        <rFont val="Arial"/>
        <family val="2"/>
      </rPr>
      <t>Prime pour l'Emploi</t>
    </r>
    <r>
      <rPr>
        <sz val="9"/>
        <rFont val="Arial"/>
        <family val="2"/>
      </rPr>
      <t xml:space="preserve"> (PPE) for lone parent families</t>
    </r>
  </si>
  <si>
    <t xml:space="preserve">Wider first tax bracket </t>
  </si>
  <si>
    <t xml:space="preserve">Wastable tax credit </t>
  </si>
  <si>
    <t xml:space="preserve">Targeted non-wastable tax credit </t>
  </si>
  <si>
    <t xml:space="preserve">Targeted wastable tax credit </t>
  </si>
  <si>
    <t>Universal, but offset by tax charge for high-income families</t>
  </si>
  <si>
    <t xml:space="preserve">Targeted </t>
  </si>
  <si>
    <t>3 to 20</t>
  </si>
  <si>
    <t>At least 3 children</t>
  </si>
  <si>
    <t xml:space="preserve">6 to 18 </t>
  </si>
  <si>
    <t>Enrolled in compulsory education</t>
  </si>
  <si>
    <t>6 to 15</t>
  </si>
  <si>
    <t>18 (no limit)</t>
  </si>
  <si>
    <t>Recipient of family allowance</t>
  </si>
  <si>
    <t xml:space="preserve">Long-term unemployed lone parent taking up at least half-time work on a permanent contract </t>
  </si>
  <si>
    <t>School attendance</t>
  </si>
  <si>
    <t>At least 2 children</t>
  </si>
  <si>
    <t>In receipt of child tax credit; family income above minimum and below maximum threshold</t>
  </si>
  <si>
    <t xml:space="preserve">Family must be recipient of unemployment benefit II, social assistance in case of old-age or partial reduction in earning capacity, supplementary child allowance or housing allowance;
Child must attend a general school or vocational training school </t>
  </si>
  <si>
    <t>Other parent does not regularly pay child alimony;
Maximum duration of 72 months</t>
  </si>
  <si>
    <t>Employee paying social security contributions
Income-related supplement if paid by employer</t>
  </si>
  <si>
    <t>Working low-income parent</t>
  </si>
  <si>
    <t>Absent parent has not paid alimony for more than 3 months in a row</t>
  </si>
  <si>
    <t>Lone parent not in receipt of unemployment or social assistance</t>
  </si>
  <si>
    <t>Youngest child up to 8</t>
  </si>
  <si>
    <t>Activity tested if youngest child aged 6 or over</t>
  </si>
  <si>
    <t>At least 4 children</t>
  </si>
  <si>
    <t>Lone parent
If youngest dependent child 14 or older, parent has to work full-time</t>
  </si>
  <si>
    <t>Lone parent
Maintenance from absent parent not paid or paid late</t>
  </si>
  <si>
    <t>Lone parent working at least half-time</t>
  </si>
  <si>
    <t>0 for second child, + from third child</t>
  </si>
  <si>
    <t>+ up to third child, 0 thereafter
Increase for long-term unemployed: - up to third child, 0 thereafter</t>
  </si>
  <si>
    <t>0 for second child, + from the third child on</t>
  </si>
  <si>
    <t>- for second child, 0 thereafter</t>
  </si>
  <si>
    <t>0 for second child, + for third child, 0 thereafter</t>
  </si>
  <si>
    <t xml:space="preserve"> 0 for second child, then --</t>
  </si>
  <si>
    <t>no benefit for only child, + for second and third child, 0 thereafter</t>
  </si>
  <si>
    <t>0 for second child, + for thereafter</t>
  </si>
  <si>
    <t xml:space="preserve"> + up to the fifth child, 0 thereafter</t>
  </si>
  <si>
    <t xml:space="preserve"> + up to the third, 0 thereafter</t>
  </si>
  <si>
    <t>+ for second and third child, 0 thereafter</t>
  </si>
  <si>
    <t>+ for third child, 0 thereafter</t>
  </si>
  <si>
    <t>+ for second child, 0 thereafter</t>
  </si>
  <si>
    <t>0 for first three children, + for the fourth, 0 thereafter</t>
  </si>
  <si>
    <t xml:space="preserve"> + for 3rd and subsequent children</t>
  </si>
  <si>
    <t>0 for first two children, + for third and fourth, 0 thereafter</t>
  </si>
  <si>
    <t xml:space="preserve"> 0 for the first two children, -- thereafter</t>
  </si>
  <si>
    <t>+ up to three children, 0 thereafter</t>
  </si>
  <si>
    <t>- for fourth child, -- thereafter</t>
  </si>
  <si>
    <t>+ up to five children, - thereafter</t>
  </si>
  <si>
    <t>+ for up to 4 children, 0 thereafter</t>
  </si>
  <si>
    <t>0 for third and fourth child, -- thereafter</t>
  </si>
  <si>
    <t>+ for 2nd to 4th child, -- thereafter</t>
  </si>
  <si>
    <t>Zero</t>
  </si>
  <si>
    <t>15% of dependent's income</t>
  </si>
  <si>
    <t>Yes, same as under unemployment benefit II (see unemployment assistance and social assistance tables)</t>
  </si>
  <si>
    <t>6 for one and two child families
17 for families with three or more children</t>
  </si>
  <si>
    <t>Benefit withdrawn in full once entitlement to FTB Part A reduced to zero</t>
  </si>
  <si>
    <t>For lone parents and higher earner in couples, benefit withdrawn in full if income exceeds threshold.
For lower earner in couples, withdrawal rate is 20%</t>
  </si>
  <si>
    <t>100% for the means-test against the income of children aged 19 or over</t>
  </si>
  <si>
    <t>Benefit fully withdrawal once gross earnings exceed threshold</t>
  </si>
  <si>
    <t>2% for one-child families, 4% for two or more</t>
  </si>
  <si>
    <t xml:space="preserve">12.2% for one-child families, 23% for 2, 33.3% for 3 or more 
</t>
  </si>
  <si>
    <t>Benefit fully withdrawn when income exceeds threshold</t>
  </si>
  <si>
    <t xml:space="preserve">Benefit fully withdrawn above income limit which varies by family type (51% of AW for couple with 2 children) </t>
  </si>
  <si>
    <t>Benefit fully withdrawn when net taxable income exceeds a threshold which varies by family size</t>
  </si>
  <si>
    <t>PPE calculated via multi-step function, see employment-related provisions sheet</t>
  </si>
  <si>
    <t>Yes, same as under unemployment benefit II (see unemployment assistance and social assistance sheets)</t>
  </si>
  <si>
    <t xml:space="preserve"> 3% for 1-child families, 5% for 2 children, 7% for 3, plus 3% for each child under 7</t>
  </si>
  <si>
    <t>Benefit fully withdrawn if net income per family member exceeds threshold</t>
  </si>
  <si>
    <t>Benefit fully withdrawn if gross income per family member above threshold</t>
  </si>
  <si>
    <r>
      <t>No withdrawal if family is below intermediate threshold (</t>
    </r>
    <r>
      <rPr>
        <i/>
        <sz val="9"/>
        <rFont val="Arial"/>
        <family val="2"/>
      </rPr>
      <t>Bemessungsgrenze</t>
    </r>
    <r>
      <rPr>
        <sz val="9"/>
        <rFont val="Arial"/>
        <family val="2"/>
      </rPr>
      <t>, depends on hypothetical unemployment assistance rates and rent amounts);
50% if above intermediate but below maximum threshold</t>
    </r>
  </si>
  <si>
    <t>Benefit withdrawn if eligibility conditions not fulfilled</t>
  </si>
  <si>
    <t>Benefit fully withdrawn if income exceeds a threshold that varies by family size</t>
  </si>
  <si>
    <r>
      <t>Early Re-employment Allowance (</t>
    </r>
    <r>
      <rPr>
        <i/>
        <sz val="9"/>
        <rFont val="Arial"/>
        <family val="2"/>
      </rPr>
      <t>조기재취업수당</t>
    </r>
    <r>
      <rPr>
        <sz val="9"/>
        <rFont val="Arial"/>
        <family val="2"/>
      </rPr>
      <t>)</t>
    </r>
  </si>
  <si>
    <r>
      <t>Earned income tax credit (</t>
    </r>
    <r>
      <rPr>
        <i/>
        <sz val="9"/>
        <rFont val="Arial"/>
        <family val="2"/>
      </rPr>
      <t>근로장려금</t>
    </r>
    <r>
      <rPr>
        <sz val="9"/>
        <rFont val="Arial"/>
        <family val="2"/>
      </rPr>
      <t>)</t>
    </r>
  </si>
  <si>
    <t>Re-employment provision in unemployment benefit</t>
  </si>
  <si>
    <t>Re-employment provision in social assistance benefit</t>
  </si>
  <si>
    <t>Reduced social security contributions</t>
  </si>
  <si>
    <t>Higher rates of social assistance benefit</t>
  </si>
  <si>
    <t>Reduced social security contribution rates</t>
  </si>
  <si>
    <t>Those returning to work who are over 45, handicapped or after parental leave who were registered as unemployed for more than 182 days</t>
  </si>
  <si>
    <t xml:space="preserve">Long-term unemployed lone parents taking up at least half-time work on a permanent contract </t>
  </si>
  <si>
    <t>Low-income working families</t>
  </si>
  <si>
    <t>Social assistance recipients starting employment (assistance activity) or training, or changing employment</t>
  </si>
  <si>
    <t>Low-income recipients of federal Canada Child Tax Benefit with children under 7 not in fully subsidized care and born before 2009</t>
  </si>
  <si>
    <t>Women aged 25 to 59 in the most vulnerable 35% of the population</t>
  </si>
  <si>
    <t>Unemployment assistance benefit recipients moving into work</t>
  </si>
  <si>
    <t>Social assistance benefit recipients moving into work</t>
  </si>
  <si>
    <t>Low earners</t>
  </si>
  <si>
    <t>Unemployment benefit recipients moving into work</t>
  </si>
  <si>
    <t>Unemployment benefit recipients moving into work with at least half of unemployment benefit entitlement remaining</t>
  </si>
  <si>
    <t>Unemployment benefit recipients moving into work with at least one third of unemployment benefit entitlement remaining</t>
  </si>
  <si>
    <t>Low- to middle-income working families</t>
  </si>
  <si>
    <t>Working lone parents and partner with lowest income in two-earner couple with children</t>
  </si>
  <si>
    <t>Working low-income lone parents</t>
  </si>
  <si>
    <t>Unemployment insurance benefit recipients moving into work and earning less than unemployment benefit</t>
  </si>
  <si>
    <t>Working social assistance benefit recipients</t>
  </si>
  <si>
    <t>Supplement to social assistance benefit</t>
  </si>
  <si>
    <t>Activation allowance in social assistance</t>
  </si>
  <si>
    <t>Special allowance in social assistance</t>
  </si>
  <si>
    <t>Up to 6 months</t>
  </si>
  <si>
    <t>Benefit fully withdrawn if earnings exceed threshold</t>
  </si>
  <si>
    <t>UI benefit recipients moving into work</t>
  </si>
  <si>
    <t xml:space="preserve">Low earners </t>
  </si>
  <si>
    <t>Unemployment benefit (UB) recipients moving into half-time work</t>
  </si>
  <si>
    <t>Low-income working families with children</t>
  </si>
  <si>
    <t>Low-earning families</t>
  </si>
  <si>
    <t>Social assistance benefit recipients moving into work and off social assistance</t>
  </si>
  <si>
    <t>Up to 12 months</t>
  </si>
  <si>
    <t>Up to 4 years</t>
  </si>
  <si>
    <t>Yes, must have been on social assistance and duration max. 3 months</t>
  </si>
  <si>
    <t>Yes, child aged up to 11</t>
  </si>
  <si>
    <t>Yes, child aged up to age 11</t>
  </si>
  <si>
    <t>Yes, at least half-time</t>
  </si>
  <si>
    <t>Yes, slightly diffferent rates if working part-time</t>
  </si>
  <si>
    <t>Yes, at least 19 hours per week or 38 hours per fortnight</t>
  </si>
  <si>
    <t>Yes, if working &lt;24 hours per week benefit is reduced</t>
  </si>
  <si>
    <t>Yes, at least 20 hours per week</t>
  </si>
  <si>
    <t>Yes, at least 20 hours per week for lone parents, combined 30 hours per week for couples</t>
  </si>
  <si>
    <t>Working full-time low- income families with children not receiving other benefits</t>
  </si>
  <si>
    <t>Yes, +28% of benefit amount for first adult if they are working 60 to 128 hours per month, +56% if more than 128 hours
+ 25% of benefit amount for second adult if they are working 60 to 128 hours per month, +49% if more than 128 hours</t>
  </si>
  <si>
    <t>Yes, at least 30 hours per week for those without children, 24 hours combined for couples with children, 16 hours for lone parents and at least one person in a couple must work at least 16 hours per week</t>
  </si>
  <si>
    <t>Yes, less than full-time</t>
  </si>
  <si>
    <t>Yes, at least 30 hours per week (20 for those returning to work after occupational rehabilitation)</t>
  </si>
  <si>
    <t>Yes, see column [11]</t>
  </si>
  <si>
    <t>If accept full-time job with lower earnings than unemployment insurance benefit, 50% of unemployment benefit during first six months and 25% in following six months. 
If earnings are less than maximum UI benefit and hours are less than full time, UI benefit = (previous UI benefit*1.35 - income).</t>
  </si>
  <si>
    <t>Yes, 6% of AW</t>
  </si>
  <si>
    <t>Yes, 10% of AW</t>
  </si>
  <si>
    <t>Yes, must be sufficient to exhaust social assistance benefit entitlement</t>
  </si>
  <si>
    <t>Yes, 44% of AW</t>
  </si>
  <si>
    <t>Individual earnings of primary earner</t>
  </si>
  <si>
    <t>Previous unemployment insurance or assistance benefit</t>
  </si>
  <si>
    <t>Individual taxable income</t>
  </si>
  <si>
    <t>Gross earnings</t>
  </si>
  <si>
    <t>See unemployment insurance sheet: 50% of net earnings are disregarded in the means test, so long as total income is not higher than 90% of reference earnings.</t>
  </si>
  <si>
    <r>
      <t xml:space="preserve">See social assistance sheet: benefit amount is basic RSA rates less family and housing benefits (= </t>
    </r>
    <r>
      <rPr>
        <i/>
        <sz val="9"/>
        <rFont val="Arial"/>
        <family val="2"/>
      </rPr>
      <t>RSA socle</t>
    </r>
    <r>
      <rPr>
        <sz val="9"/>
        <rFont val="Arial"/>
        <family val="2"/>
      </rPr>
      <t>) minus 38% of net earnings.
Earnings completely disregarded for first three months after entering work</t>
    </r>
  </si>
  <si>
    <t>1/3 of unused benefit if already used 2/3 of payment days;
1/2 of unused benefit if used 1/3 to 2/3 payment days;
2/3 of unused benefit if used 1/3 or less payment days</t>
  </si>
  <si>
    <t>See family provisions sheet</t>
  </si>
  <si>
    <t>During first year of employment out of unemployment 50% of earnings from the new job are disregarded rather than 20%</t>
  </si>
  <si>
    <t>11.67% for singles;
18.89% for single-earner couples;
21% for two-earner couples</t>
  </si>
  <si>
    <t xml:space="preserve">17.5% for singles and two-earner couples;
18.89% for single-earner couples
</t>
  </si>
  <si>
    <t>Marginal social security contribution rate approximately 9.5% higher in 'midi job' zone</t>
  </si>
  <si>
    <t>7.65% without children;
34% with one child;
40% with 2 children;
45% with 3 or more children</t>
  </si>
  <si>
    <t>7.65% without children;
15.98% with one child;
21.06% with 2 or more children</t>
  </si>
  <si>
    <t>Varies by benefit duration and hours worked, see column [11]</t>
  </si>
  <si>
    <t>See column [11]</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</si>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</sst>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2" formatCode="_(&quot;€&quot;* #,##0_);_(&quot;€&quot;* \(#,##0\);_(&quot;€&quot;* &quot;-&quot;_);_(@_)"/>
    <numFmt numFmtId="164" formatCode="0.0%"/>
    <numFmt numFmtId="165" formatCode="0.0"/>
    <numFmt numFmtId="166" formatCode="[$$-409]#,##0"/>
    <numFmt numFmtId="167" formatCode="&quot;€&quot;#,##0"/>
    <numFmt numFmtId="168" formatCode="#,##0\ [$Kč-405]"/>
    <numFmt numFmtId="169" formatCode="[$kr.-406]\ #,##0"/>
    <numFmt numFmtId="170" formatCode="#,##0\ [$Ft-40E]"/>
    <numFmt numFmtId="171" formatCode="#,##0\ [$kr.-40F]"/>
    <numFmt numFmtId="172" formatCode="[$₪-40D]\ #,##0"/>
    <numFmt numFmtId="173" formatCode="[$¥-411]#,##0"/>
    <numFmt numFmtId="174" formatCode="[$₩-412]#,##0"/>
    <numFmt numFmtId="175" formatCode="[$kr-414]\ #,##0"/>
    <numFmt numFmtId="176" formatCode="#,##0\ [$zł-415]"/>
    <numFmt numFmtId="177" formatCode="[$fr.-100C]\ #,##0"/>
    <numFmt numFmtId="178" formatCode="#,##0\ [$₺-41F]"/>
    <numFmt numFmtId="179" formatCode="[$£-809]#,##0"/>
    <numFmt numFmtId="180" formatCode="#,##0\ [$лв.-402]"/>
    <numFmt numFmtId="181" formatCode="#,##0\ [$kn-41A]"/>
    <numFmt numFmtId="182" formatCode="#,##0\ [$lei-418]"/>
    <numFmt numFmtId="183" formatCode="#,##0\ [$Lt-418]"/>
    <numFmt numFmtId="184" formatCode="0.000"/>
  </numFmts>
  <fonts count="21" x14ac:knownFonts="1">
    <font>
      <sz val="10"/>
      <color theme="1"/>
      <name val="Arial"/>
      <family val="2"/>
    </font>
    <font>
      <sz val="10"/>
      <color theme="1"/>
      <name val="Arial"/>
      <family val="2"/>
    </font>
    <font>
      <sz val="10"/>
      <color rgb="FF006100"/>
      <name val="Arial"/>
      <family val="2"/>
    </font>
    <font>
      <i/>
      <sz val="9"/>
      <name val="Arial"/>
      <family val="2"/>
    </font>
    <font>
      <sz val="9"/>
      <name val="Arial"/>
      <family val="2"/>
    </font>
    <font>
      <u/>
      <sz val="9"/>
      <color theme="10"/>
      <name val="Arial"/>
      <family val="2"/>
    </font>
    <font>
      <b/>
      <sz val="14"/>
      <name val="Arial"/>
      <family val="2"/>
    </font>
    <font>
      <sz val="14"/>
      <name val="Arial"/>
      <family val="2"/>
    </font>
    <font>
      <sz val="10"/>
      <name val="Arial"/>
      <family val="2"/>
    </font>
    <font>
      <vertAlign val="superscript"/>
      <sz val="10"/>
      <name val="Arial"/>
      <family val="2"/>
    </font>
    <font>
      <b/>
      <sz val="9"/>
      <name val="Arial"/>
      <family val="2"/>
    </font>
    <font>
      <vertAlign val="superscript"/>
      <sz val="9"/>
      <name val="Arial"/>
      <family val="2"/>
    </font>
    <font>
      <u/>
      <sz val="9"/>
      <color rgb="FF0000FF"/>
      <name val="Arial"/>
      <family val="2"/>
    </font>
    <font>
      <sz val="9"/>
      <color theme="1"/>
      <name val="Arial"/>
      <family val="2"/>
    </font>
    <font>
      <i/>
      <sz val="10"/>
      <name val="Arial"/>
      <family val="2"/>
    </font>
    <font>
      <b/>
      <vertAlign val="superscript"/>
      <sz val="14"/>
      <name val="Arial"/>
      <family val="2"/>
    </font>
    <font>
      <vertAlign val="superscript"/>
      <sz val="9"/>
      <color theme="1"/>
      <name val="Arial"/>
      <family val="2"/>
    </font>
    <font>
      <sz val="9"/>
      <color rgb="FF006100"/>
      <name val="Arial"/>
      <family val="2"/>
    </font>
    <font>
      <i/>
      <sz val="10"/>
      <color theme="1"/>
      <name val="Arial"/>
      <family val="2"/>
    </font>
    <font>
      <sz val="12"/>
      <color theme="1"/>
      <name val="Arial"/>
      <family val="2"/>
    </font>
    <font>
      <i/>
      <sz val="9"/>
      <color theme="1"/>
      <name val="Arial"/>
      <family val="2"/>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FF"/>
        <bgColor rgb="FF000000"/>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s>
  <cellStyleXfs count="6">
    <xf numFmtId="0" fontId="0" fillId="0" borderId="0"/>
    <xf numFmtId="9" fontId="1" fillId="0" borderId="0" applyFont="0" applyFill="0" applyBorder="0" applyAlignment="0" applyProtection="0"/>
    <xf numFmtId="0" fontId="2" fillId="2" borderId="0" applyNumberFormat="0" applyBorder="0" applyAlignment="0" applyProtection="0"/>
    <xf numFmtId="0" fontId="5" fillId="0" borderId="0" applyNumberFormat="0" applyFill="0" applyBorder="0" applyAlignment="0" applyProtection="0"/>
    <xf numFmtId="0" fontId="1" fillId="0" borderId="0"/>
    <xf numFmtId="0" fontId="4" fillId="0" borderId="0"/>
  </cellStyleXfs>
  <cellXfs count="615">
    <xf numFmtId="0" fontId="0" fillId="0" borderId="0" xfId="0"/>
    <xf numFmtId="0" fontId="3" fillId="0" borderId="0" xfId="0" applyFont="1" applyFill="1"/>
    <xf numFmtId="0" fontId="4" fillId="0" borderId="0" xfId="0" quotePrefix="1" applyFont="1"/>
    <xf numFmtId="0" fontId="3" fillId="0" borderId="0" xfId="0" applyFont="1" applyAlignment="1">
      <alignment horizontal="left" vertical="top"/>
    </xf>
    <xf numFmtId="0" fontId="3" fillId="0" borderId="0" xfId="0" applyFont="1" applyFill="1" applyAlignment="1">
      <alignment horizontal="left" vertical="center"/>
    </xf>
    <xf numFmtId="0" fontId="5" fillId="3" borderId="0" xfId="3" applyFill="1" applyBorder="1" applyAlignment="1" applyProtection="1">
      <alignment horizontal="left" vertical="center"/>
    </xf>
    <xf numFmtId="0" fontId="4" fillId="0" borderId="0" xfId="0" applyFont="1" applyFill="1" applyAlignment="1">
      <alignment horizontal="left" vertical="center"/>
    </xf>
    <xf numFmtId="0" fontId="4" fillId="0" borderId="1" xfId="0" applyNumberFormat="1" applyFont="1" applyFill="1" applyBorder="1" applyAlignment="1">
      <alignment horizontal="left" vertical="center"/>
    </xf>
    <xf numFmtId="0" fontId="0" fillId="0" borderId="0" xfId="0" applyNumberFormat="1" applyFill="1" applyAlignment="1">
      <alignment horizontal="left" vertical="top"/>
    </xf>
    <xf numFmtId="0" fontId="4" fillId="0" borderId="0" xfId="0" applyNumberFormat="1" applyFont="1" applyFill="1" applyBorder="1"/>
    <xf numFmtId="0" fontId="0" fillId="0" borderId="0" xfId="0" applyNumberFormat="1" applyFill="1"/>
    <xf numFmtId="0" fontId="4" fillId="0" borderId="1" xfId="0" applyNumberFormat="1" applyFont="1" applyFill="1" applyBorder="1"/>
    <xf numFmtId="0" fontId="4" fillId="0" borderId="0" xfId="0" applyFont="1" applyFill="1"/>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0" borderId="1" xfId="0" applyFont="1" applyFill="1" applyBorder="1"/>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0" fillId="0" borderId="15" xfId="0" applyFont="1" applyFill="1" applyBorder="1"/>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4" fillId="0" borderId="15" xfId="0" applyFont="1" applyFill="1" applyBorder="1" applyAlignment="1">
      <alignment vertical="top"/>
    </xf>
    <xf numFmtId="9" fontId="4" fillId="0" borderId="6" xfId="1" applyFont="1" applyFill="1" applyBorder="1" applyAlignment="1">
      <alignment horizontal="left" vertical="top" wrapText="1"/>
    </xf>
    <xf numFmtId="9" fontId="4" fillId="0" borderId="0" xfId="1" applyFont="1" applyFill="1" applyBorder="1" applyAlignment="1">
      <alignment horizontal="left" vertical="top" wrapText="1"/>
    </xf>
    <xf numFmtId="0" fontId="4" fillId="0" borderId="10" xfId="0" applyFont="1" applyFill="1" applyBorder="1" applyAlignment="1">
      <alignment vertical="top"/>
    </xf>
    <xf numFmtId="9" fontId="4" fillId="0" borderId="9" xfId="1" applyFont="1" applyFill="1" applyBorder="1" applyAlignment="1">
      <alignment horizontal="left" vertical="top" wrapText="1"/>
    </xf>
    <xf numFmtId="0" fontId="10" fillId="0" borderId="0" xfId="4" applyFont="1" applyFill="1" applyBorder="1" applyAlignment="1">
      <alignment vertical="top"/>
    </xf>
    <xf numFmtId="0" fontId="0" fillId="0" borderId="0" xfId="0" applyFill="1" applyBorder="1"/>
    <xf numFmtId="0" fontId="4" fillId="0" borderId="15" xfId="0" applyFont="1" applyFill="1" applyBorder="1" applyAlignment="1">
      <alignment horizontal="left" vertical="top"/>
    </xf>
    <xf numFmtId="0" fontId="0" fillId="0" borderId="0" xfId="0" applyFill="1"/>
    <xf numFmtId="0" fontId="4" fillId="0" borderId="0" xfId="4" applyFont="1" applyFill="1" applyBorder="1" applyAlignment="1"/>
    <xf numFmtId="0" fontId="4" fillId="0" borderId="0" xfId="0" applyFont="1" applyFill="1" applyAlignment="1">
      <alignment horizontal="left" vertical="top"/>
    </xf>
    <xf numFmtId="0" fontId="4" fillId="0" borderId="0" xfId="4" applyFont="1" applyFill="1" applyBorder="1" applyAlignment="1">
      <alignment vertical="top"/>
    </xf>
    <xf numFmtId="0" fontId="4" fillId="0" borderId="0" xfId="0" applyFont="1" applyFill="1" applyBorder="1" applyAlignment="1"/>
    <xf numFmtId="3" fontId="4" fillId="0" borderId="0" xfId="0" applyNumberFormat="1" applyFont="1" applyFill="1" applyBorder="1" applyAlignment="1">
      <alignment horizontal="right" vertical="top" indent="1"/>
    </xf>
    <xf numFmtId="0" fontId="4" fillId="0" borderId="0" xfId="0" applyFont="1" applyFill="1" applyBorder="1" applyAlignment="1">
      <alignment vertical="top"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0" xfId="0" applyFont="1" applyFill="1" applyBorder="1"/>
    <xf numFmtId="0" fontId="3" fillId="0" borderId="0" xfId="0" applyFont="1" applyFill="1" applyBorder="1"/>
    <xf numFmtId="0" fontId="4" fillId="0" borderId="0" xfId="0" applyFont="1" applyFill="1" applyBorder="1" applyAlignment="1">
      <alignment horizontal="left" vertical="top"/>
    </xf>
    <xf numFmtId="0" fontId="3" fillId="0" borderId="0" xfId="0" applyFont="1" applyFill="1" applyBorder="1" applyAlignment="1">
      <alignment horizontal="left" vertical="center"/>
    </xf>
    <xf numFmtId="0" fontId="12" fillId="4" borderId="0" xfId="3" applyFont="1" applyFill="1" applyBorder="1" applyAlignment="1" applyProtection="1">
      <alignment horizontal="left" vertical="center"/>
    </xf>
    <xf numFmtId="1" fontId="13" fillId="0" borderId="6" xfId="1" applyNumberFormat="1" applyFont="1" applyFill="1" applyBorder="1" applyAlignment="1">
      <alignment horizontal="left" vertical="top" wrapText="1"/>
    </xf>
    <xf numFmtId="9" fontId="13" fillId="0" borderId="5" xfId="1" applyFont="1" applyFill="1" applyBorder="1" applyAlignment="1">
      <alignment horizontal="left" vertical="top" wrapText="1"/>
    </xf>
    <xf numFmtId="9" fontId="13" fillId="0" borderId="6" xfId="1" applyFont="1" applyFill="1" applyBorder="1" applyAlignment="1">
      <alignment horizontal="left" vertical="top" wrapText="1"/>
    </xf>
    <xf numFmtId="1" fontId="13" fillId="0" borderId="7" xfId="1" applyNumberFormat="1" applyFont="1" applyFill="1" applyBorder="1" applyAlignment="1">
      <alignment horizontal="left" vertical="top" wrapText="1"/>
    </xf>
    <xf numFmtId="0" fontId="4" fillId="0" borderId="8" xfId="0" applyFont="1" applyFill="1" applyBorder="1"/>
    <xf numFmtId="0" fontId="4" fillId="0" borderId="11" xfId="0" applyFont="1" applyFill="1" applyBorder="1"/>
    <xf numFmtId="0" fontId="4" fillId="0" borderId="9" xfId="0" applyFont="1" applyFill="1" applyBorder="1"/>
    <xf numFmtId="1" fontId="4" fillId="0" borderId="8" xfId="1" applyNumberFormat="1" applyFont="1" applyFill="1" applyBorder="1" applyAlignment="1">
      <alignment horizontal="left" vertical="top" wrapText="1"/>
    </xf>
    <xf numFmtId="1" fontId="4" fillId="0" borderId="0" xfId="1" applyNumberFormat="1" applyFont="1" applyFill="1" applyBorder="1" applyAlignment="1">
      <alignment horizontal="left" vertical="top" wrapText="1"/>
    </xf>
    <xf numFmtId="9" fontId="4" fillId="0" borderId="8" xfId="1" applyFont="1" applyFill="1" applyBorder="1" applyAlignment="1">
      <alignment horizontal="left" vertical="top" wrapText="1"/>
    </xf>
    <xf numFmtId="1" fontId="4" fillId="0" borderId="9" xfId="1" applyNumberFormat="1" applyFont="1" applyFill="1" applyBorder="1" applyAlignment="1">
      <alignment horizontal="left" vertical="top" wrapText="1"/>
    </xf>
    <xf numFmtId="9" fontId="4" fillId="0" borderId="11" xfId="1" applyFont="1" applyFill="1" applyBorder="1" applyAlignment="1">
      <alignment horizontal="left" vertical="top" wrapText="1"/>
    </xf>
    <xf numFmtId="1" fontId="4" fillId="0" borderId="5" xfId="1" applyNumberFormat="1" applyFont="1" applyFill="1" applyBorder="1" applyAlignment="1">
      <alignment horizontal="left" vertical="top" wrapText="1"/>
    </xf>
    <xf numFmtId="1" fontId="4" fillId="0" borderId="6" xfId="1" applyNumberFormat="1" applyFont="1" applyFill="1" applyBorder="1" applyAlignment="1">
      <alignment horizontal="left" vertical="top" wrapText="1"/>
    </xf>
    <xf numFmtId="9" fontId="4" fillId="0" borderId="5" xfId="1" applyFont="1" applyFill="1" applyBorder="1" applyAlignment="1">
      <alignment horizontal="left" vertical="top" wrapText="1"/>
    </xf>
    <xf numFmtId="1" fontId="4" fillId="0" borderId="7" xfId="1" applyNumberFormat="1" applyFont="1" applyFill="1" applyBorder="1" applyAlignment="1">
      <alignment horizontal="left" vertical="top" wrapText="1"/>
    </xf>
    <xf numFmtId="9" fontId="4" fillId="0" borderId="15" xfId="1" applyFont="1" applyFill="1" applyBorder="1" applyAlignment="1">
      <alignment horizontal="left" vertical="top" wrapText="1"/>
    </xf>
    <xf numFmtId="1" fontId="3" fillId="0" borderId="5" xfId="1" applyNumberFormat="1" applyFont="1" applyFill="1" applyBorder="1" applyAlignment="1">
      <alignment horizontal="left" vertical="top" wrapText="1"/>
    </xf>
    <xf numFmtId="1" fontId="3" fillId="0" borderId="8" xfId="1" applyNumberFormat="1" applyFont="1" applyFill="1" applyBorder="1" applyAlignment="1">
      <alignment horizontal="left" vertical="top" wrapText="1"/>
    </xf>
    <xf numFmtId="9" fontId="4" fillId="0" borderId="14" xfId="1" applyFont="1" applyFill="1" applyBorder="1" applyAlignment="1">
      <alignment horizontal="left" vertical="top" wrapText="1"/>
    </xf>
    <xf numFmtId="1" fontId="3" fillId="0" borderId="5" xfId="2" applyNumberFormat="1" applyFont="1" applyFill="1" applyBorder="1" applyAlignment="1">
      <alignment horizontal="left" vertical="top" wrapText="1"/>
    </xf>
    <xf numFmtId="9" fontId="4" fillId="0" borderId="6" xfId="2" applyNumberFormat="1" applyFont="1" applyFill="1" applyBorder="1" applyAlignment="1">
      <alignment horizontal="left" vertical="top" wrapText="1"/>
    </xf>
    <xf numFmtId="1" fontId="4" fillId="0" borderId="6" xfId="2" applyNumberFormat="1" applyFont="1" applyFill="1" applyBorder="1" applyAlignment="1">
      <alignment horizontal="left" vertical="top" wrapText="1"/>
    </xf>
    <xf numFmtId="1" fontId="4" fillId="0" borderId="7" xfId="2" applyNumberFormat="1" applyFont="1" applyFill="1" applyBorder="1" applyAlignment="1">
      <alignment horizontal="left" vertical="top" wrapText="1"/>
    </xf>
    <xf numFmtId="9" fontId="4" fillId="0" borderId="5" xfId="2" applyNumberFormat="1" applyFont="1" applyFill="1" applyBorder="1" applyAlignment="1">
      <alignment horizontal="left" vertical="top" wrapText="1"/>
    </xf>
    <xf numFmtId="9" fontId="4" fillId="0" borderId="15" xfId="2" applyNumberFormat="1" applyFont="1" applyFill="1" applyBorder="1" applyAlignment="1">
      <alignment horizontal="left" vertical="top" wrapText="1"/>
    </xf>
    <xf numFmtId="1" fontId="3" fillId="0" borderId="8" xfId="2" applyNumberFormat="1" applyFont="1" applyFill="1" applyBorder="1" applyAlignment="1">
      <alignment horizontal="left" vertical="top" wrapText="1"/>
    </xf>
    <xf numFmtId="9" fontId="4" fillId="0" borderId="8" xfId="2" applyNumberFormat="1" applyFont="1" applyFill="1" applyBorder="1" applyAlignment="1">
      <alignment horizontal="left" vertical="top" wrapText="1"/>
    </xf>
    <xf numFmtId="9" fontId="4" fillId="0" borderId="0" xfId="2" applyNumberFormat="1" applyFont="1" applyFill="1" applyBorder="1" applyAlignment="1">
      <alignment horizontal="left" vertical="top" wrapText="1"/>
    </xf>
    <xf numFmtId="9" fontId="4" fillId="0" borderId="11" xfId="2" applyNumberFormat="1" applyFont="1" applyFill="1" applyBorder="1" applyAlignment="1">
      <alignment horizontal="left" vertical="top" wrapText="1"/>
    </xf>
    <xf numFmtId="1" fontId="4" fillId="0" borderId="8" xfId="2" applyNumberFormat="1" applyFont="1" applyFill="1" applyBorder="1" applyAlignment="1">
      <alignment horizontal="left" vertical="top" wrapText="1"/>
    </xf>
    <xf numFmtId="1" fontId="4" fillId="0" borderId="5" xfId="2" applyNumberFormat="1" applyFont="1" applyFill="1" applyBorder="1" applyAlignment="1">
      <alignment horizontal="left" vertical="top" wrapText="1"/>
    </xf>
    <xf numFmtId="1" fontId="4" fillId="0" borderId="0" xfId="2" applyNumberFormat="1" applyFont="1" applyFill="1" applyBorder="1" applyAlignment="1">
      <alignment horizontal="left" vertical="top" wrapText="1"/>
    </xf>
    <xf numFmtId="1" fontId="4" fillId="0" borderId="9" xfId="2" applyNumberFormat="1" applyFont="1" applyFill="1" applyBorder="1" applyAlignment="1">
      <alignment horizontal="left" vertical="top" wrapText="1"/>
    </xf>
    <xf numFmtId="9" fontId="4" fillId="0" borderId="9" xfId="2" applyNumberFormat="1" applyFont="1" applyFill="1" applyBorder="1" applyAlignment="1">
      <alignment horizontal="left" vertical="top" wrapText="1"/>
    </xf>
    <xf numFmtId="1" fontId="4" fillId="0" borderId="6" xfId="2" applyNumberFormat="1" applyFont="1" applyFill="1" applyBorder="1" applyAlignment="1">
      <alignment horizontal="left" vertical="center" wrapText="1"/>
    </xf>
    <xf numFmtId="1" fontId="4" fillId="0" borderId="7" xfId="2" applyNumberFormat="1" applyFont="1" applyFill="1" applyBorder="1" applyAlignment="1">
      <alignment horizontal="left" vertical="center" wrapText="1"/>
    </xf>
    <xf numFmtId="9" fontId="4" fillId="0" borderId="6" xfId="2" applyNumberFormat="1" applyFont="1" applyFill="1" applyBorder="1" applyAlignment="1">
      <alignment horizontal="left" vertical="center" wrapText="1"/>
    </xf>
    <xf numFmtId="0" fontId="4" fillId="0" borderId="14" xfId="0" applyFont="1" applyFill="1" applyBorder="1" applyAlignment="1">
      <alignment vertical="top"/>
    </xf>
    <xf numFmtId="1" fontId="3" fillId="0" borderId="12" xfId="1" applyNumberFormat="1" applyFont="1" applyFill="1" applyBorder="1" applyAlignment="1">
      <alignment horizontal="left" vertical="top" wrapText="1"/>
    </xf>
    <xf numFmtId="1" fontId="4" fillId="0" borderId="1" xfId="1" applyNumberFormat="1" applyFont="1" applyFill="1" applyBorder="1" applyAlignment="1">
      <alignment horizontal="left" vertical="top" wrapText="1"/>
    </xf>
    <xf numFmtId="1" fontId="4" fillId="0" borderId="1" xfId="2" applyNumberFormat="1" applyFont="1" applyFill="1" applyBorder="1" applyAlignment="1">
      <alignment horizontal="left" vertical="top" wrapText="1"/>
    </xf>
    <xf numFmtId="1" fontId="4" fillId="0" borderId="13" xfId="1" applyNumberFormat="1" applyFont="1" applyFill="1" applyBorder="1" applyAlignment="1">
      <alignment horizontal="left" vertical="top" wrapText="1"/>
    </xf>
    <xf numFmtId="9" fontId="4" fillId="0" borderId="1" xfId="1" applyFont="1" applyFill="1" applyBorder="1" applyAlignment="1">
      <alignment horizontal="left" vertical="top" wrapText="1"/>
    </xf>
    <xf numFmtId="9" fontId="4" fillId="0" borderId="7" xfId="1" applyFont="1" applyFill="1" applyBorder="1" applyAlignment="1">
      <alignment horizontal="left" vertical="top" wrapText="1"/>
    </xf>
    <xf numFmtId="0" fontId="10" fillId="0"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0" xfId="0" applyNumberFormat="1" applyFont="1" applyFill="1" applyBorder="1" applyAlignment="1">
      <alignment horizontal="left" vertical="top"/>
    </xf>
    <xf numFmtId="0" fontId="10" fillId="0" borderId="0" xfId="0" applyFont="1" applyFill="1" applyBorder="1"/>
    <xf numFmtId="0" fontId="4" fillId="0" borderId="6" xfId="1" applyNumberFormat="1" applyFont="1" applyFill="1" applyBorder="1" applyAlignment="1">
      <alignment horizontal="left" vertical="top" wrapText="1"/>
    </xf>
    <xf numFmtId="0" fontId="4" fillId="0" borderId="5" xfId="1" applyNumberFormat="1" applyFont="1" applyFill="1" applyBorder="1" applyAlignment="1">
      <alignment horizontal="left" vertical="top" wrapText="1"/>
    </xf>
    <xf numFmtId="0" fontId="4" fillId="0" borderId="7" xfId="1" applyNumberFormat="1" applyFont="1" applyFill="1" applyBorder="1" applyAlignment="1">
      <alignment horizontal="left" vertical="top" wrapText="1"/>
    </xf>
    <xf numFmtId="0" fontId="4" fillId="0" borderId="8" xfId="1" applyNumberFormat="1" applyFont="1" applyFill="1" applyBorder="1" applyAlignment="1">
      <alignment horizontal="left" vertical="top" wrapText="1"/>
    </xf>
    <xf numFmtId="0" fontId="10" fillId="0" borderId="12" xfId="4" applyFont="1" applyFill="1" applyBorder="1" applyAlignment="1">
      <alignment vertical="top"/>
    </xf>
    <xf numFmtId="0" fontId="4" fillId="0" borderId="1" xfId="0" applyFont="1" applyFill="1" applyBorder="1" applyAlignment="1">
      <alignment horizontal="right" vertical="top" indent="2"/>
    </xf>
    <xf numFmtId="0" fontId="4" fillId="0" borderId="13" xfId="0" applyFont="1" applyFill="1" applyBorder="1" applyAlignment="1">
      <alignment horizontal="right" vertical="top" indent="2"/>
    </xf>
    <xf numFmtId="1" fontId="4" fillId="0" borderId="1" xfId="0" applyNumberFormat="1" applyFont="1" applyFill="1" applyBorder="1" applyAlignment="1">
      <alignment horizontal="right" vertical="top" indent="2"/>
    </xf>
    <xf numFmtId="3" fontId="4" fillId="0" borderId="12" xfId="0" applyNumberFormat="1" applyFont="1" applyFill="1" applyBorder="1" applyAlignment="1">
      <alignment horizontal="right" vertical="top"/>
    </xf>
    <xf numFmtId="0" fontId="0" fillId="0" borderId="15" xfId="0" applyFont="1" applyFill="1" applyBorder="1" applyAlignment="1">
      <alignment vertical="top"/>
    </xf>
    <xf numFmtId="0" fontId="13" fillId="0" borderId="12" xfId="0" applyFont="1" applyFill="1" applyBorder="1"/>
    <xf numFmtId="0" fontId="13" fillId="0" borderId="1" xfId="0" applyFont="1" applyFill="1" applyBorder="1"/>
    <xf numFmtId="0" fontId="13" fillId="0" borderId="13" xfId="0" applyFont="1" applyFill="1" applyBorder="1"/>
    <xf numFmtId="9" fontId="13" fillId="0" borderId="7" xfId="1" applyFont="1" applyFill="1" applyBorder="1" applyAlignment="1">
      <alignment horizontal="left" vertical="top" wrapText="1"/>
    </xf>
    <xf numFmtId="0" fontId="13" fillId="0" borderId="0" xfId="0" applyFont="1"/>
    <xf numFmtId="0" fontId="5" fillId="0" borderId="0" xfId="3"/>
    <xf numFmtId="0" fontId="4" fillId="0" borderId="0" xfId="0" applyNumberFormat="1" applyFont="1" applyFill="1" applyBorder="1" applyAlignment="1">
      <alignment horizontal="left" vertical="center"/>
    </xf>
    <xf numFmtId="0" fontId="4"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2"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2" xfId="0" applyFont="1" applyFill="1" applyBorder="1"/>
    <xf numFmtId="0" fontId="4" fillId="0" borderId="14" xfId="0" applyFont="1" applyFill="1" applyBorder="1"/>
    <xf numFmtId="0" fontId="4" fillId="0" borderId="12" xfId="0" applyFont="1" applyFill="1" applyBorder="1"/>
    <xf numFmtId="0" fontId="4" fillId="0" borderId="1" xfId="0" applyFont="1" applyFill="1" applyBorder="1" applyAlignment="1">
      <alignment horizontal="left"/>
    </xf>
    <xf numFmtId="0" fontId="4" fillId="0" borderId="13" xfId="0" applyFont="1" applyFill="1" applyBorder="1"/>
    <xf numFmtId="0" fontId="4" fillId="0" borderId="5" xfId="0" applyFont="1" applyFill="1" applyBorder="1" applyAlignment="1">
      <alignment vertical="top"/>
    </xf>
    <xf numFmtId="1" fontId="4" fillId="0" borderId="15" xfId="1" applyNumberFormat="1" applyFont="1" applyFill="1" applyBorder="1" applyAlignment="1">
      <alignment horizontal="left" vertical="top" wrapText="1"/>
    </xf>
    <xf numFmtId="164" fontId="4" fillId="0" borderId="5" xfId="1" quotePrefix="1" applyNumberFormat="1" applyFont="1" applyFill="1" applyBorder="1" applyAlignment="1">
      <alignment horizontal="center" vertical="top"/>
    </xf>
    <xf numFmtId="164" fontId="4" fillId="0" borderId="6" xfId="1" quotePrefix="1" applyNumberFormat="1" applyFont="1" applyFill="1" applyBorder="1" applyAlignment="1">
      <alignment horizontal="center" vertical="top"/>
    </xf>
    <xf numFmtId="164" fontId="4" fillId="0" borderId="6" xfId="1" quotePrefix="1" applyNumberFormat="1" applyFont="1" applyFill="1" applyBorder="1" applyAlignment="1">
      <alignment horizontal="left" vertical="top" wrapText="1"/>
    </xf>
    <xf numFmtId="0" fontId="4" fillId="0" borderId="5" xfId="0" applyFont="1" applyFill="1" applyBorder="1" applyAlignment="1">
      <alignment vertical="top" wrapText="1"/>
    </xf>
    <xf numFmtId="164" fontId="4" fillId="0" borderId="6" xfId="1" quotePrefix="1" applyNumberFormat="1" applyFont="1" applyFill="1" applyBorder="1" applyAlignment="1">
      <alignment horizontal="center" vertical="top" wrapText="1"/>
    </xf>
    <xf numFmtId="0" fontId="4" fillId="0" borderId="2" xfId="0" applyFont="1" applyFill="1" applyBorder="1" applyAlignment="1">
      <alignment vertical="top"/>
    </xf>
    <xf numFmtId="1" fontId="4" fillId="0" borderId="10" xfId="1" applyNumberFormat="1" applyFont="1" applyFill="1" applyBorder="1" applyAlignment="1">
      <alignment horizontal="left" vertical="top" wrapText="1"/>
    </xf>
    <xf numFmtId="1" fontId="4" fillId="0" borderId="3" xfId="1" applyNumberFormat="1" applyFont="1" applyFill="1" applyBorder="1" applyAlignment="1">
      <alignment horizontal="left" vertical="top" wrapText="1"/>
    </xf>
    <xf numFmtId="1" fontId="4" fillId="0" borderId="2" xfId="1" applyNumberFormat="1" applyFont="1" applyFill="1" applyBorder="1" applyAlignment="1">
      <alignment horizontal="left" vertical="top" wrapText="1"/>
    </xf>
    <xf numFmtId="9" fontId="4" fillId="0" borderId="3" xfId="1" applyFont="1" applyFill="1" applyBorder="1" applyAlignment="1">
      <alignment horizontal="left" vertical="top" wrapText="1"/>
    </xf>
    <xf numFmtId="1" fontId="4" fillId="0" borderId="4" xfId="1" applyNumberFormat="1" applyFont="1" applyFill="1" applyBorder="1" applyAlignment="1">
      <alignment horizontal="left" vertical="top" wrapText="1"/>
    </xf>
    <xf numFmtId="0" fontId="4" fillId="0" borderId="12" xfId="0" applyFont="1" applyFill="1" applyBorder="1" applyAlignment="1">
      <alignment vertical="top"/>
    </xf>
    <xf numFmtId="1" fontId="4" fillId="0" borderId="14" xfId="1" applyNumberFormat="1" applyFont="1" applyFill="1" applyBorder="1" applyAlignment="1">
      <alignment horizontal="left" vertical="top" wrapText="1"/>
    </xf>
    <xf numFmtId="1" fontId="4" fillId="0" borderId="12" xfId="1" applyNumberFormat="1" applyFont="1" applyFill="1" applyBorder="1" applyAlignment="1">
      <alignment horizontal="left" vertical="top" wrapText="1"/>
    </xf>
    <xf numFmtId="0" fontId="4" fillId="0" borderId="10" xfId="0" applyFont="1" applyFill="1" applyBorder="1" applyAlignment="1">
      <alignment vertical="top" wrapText="1"/>
    </xf>
    <xf numFmtId="164" fontId="4" fillId="0" borderId="2" xfId="1" quotePrefix="1" applyNumberFormat="1" applyFont="1" applyFill="1" applyBorder="1" applyAlignment="1">
      <alignment horizontal="center" vertical="top"/>
    </xf>
    <xf numFmtId="164" fontId="4" fillId="0" borderId="3" xfId="1" quotePrefix="1" applyNumberFormat="1" applyFont="1" applyFill="1" applyBorder="1" applyAlignment="1">
      <alignment horizontal="center" vertical="top"/>
    </xf>
    <xf numFmtId="0" fontId="4" fillId="0" borderId="15" xfId="0" applyFont="1" applyFill="1" applyBorder="1" applyAlignment="1">
      <alignment vertical="top" wrapText="1"/>
    </xf>
    <xf numFmtId="0" fontId="4" fillId="0" borderId="2" xfId="0" applyFont="1" applyFill="1" applyBorder="1" applyAlignment="1">
      <alignment vertical="top" wrapText="1"/>
    </xf>
    <xf numFmtId="0" fontId="10" fillId="0" borderId="12" xfId="0" applyFont="1" applyFill="1" applyBorder="1" applyAlignment="1">
      <alignment vertical="top"/>
    </xf>
    <xf numFmtId="0" fontId="4" fillId="0" borderId="5" xfId="0" applyFont="1" applyFill="1" applyBorder="1" applyAlignment="1">
      <alignment horizontal="left" vertical="top"/>
    </xf>
    <xf numFmtId="1" fontId="3" fillId="0" borderId="15" xfId="1" applyNumberFormat="1" applyFont="1" applyFill="1" applyBorder="1" applyAlignment="1">
      <alignment horizontal="left" vertical="top" wrapText="1"/>
    </xf>
    <xf numFmtId="0" fontId="3" fillId="0" borderId="15" xfId="0" applyFont="1" applyFill="1" applyBorder="1" applyAlignment="1">
      <alignment horizontal="left" vertical="top" wrapText="1"/>
    </xf>
    <xf numFmtId="1" fontId="4" fillId="0" borderId="3" xfId="2" applyNumberFormat="1" applyFont="1" applyFill="1" applyBorder="1" applyAlignment="1">
      <alignment horizontal="left" vertical="top" wrapText="1"/>
    </xf>
    <xf numFmtId="1" fontId="4" fillId="0" borderId="2" xfId="2" applyNumberFormat="1" applyFont="1" applyFill="1" applyBorder="1" applyAlignment="1">
      <alignment horizontal="left" vertical="top" wrapText="1"/>
    </xf>
    <xf numFmtId="1" fontId="4" fillId="0" borderId="4" xfId="2" applyNumberFormat="1" applyFont="1" applyFill="1" applyBorder="1" applyAlignment="1">
      <alignment horizontal="left" vertical="top" wrapText="1"/>
    </xf>
    <xf numFmtId="1" fontId="4" fillId="0" borderId="13" xfId="2" applyNumberFormat="1" applyFont="1" applyFill="1" applyBorder="1" applyAlignment="1">
      <alignment horizontal="left" vertical="top" wrapText="1"/>
    </xf>
    <xf numFmtId="1" fontId="4" fillId="0" borderId="15" xfId="2" applyNumberFormat="1" applyFont="1" applyFill="1" applyBorder="1" applyAlignment="1">
      <alignment horizontal="left" vertical="top" wrapText="1"/>
    </xf>
    <xf numFmtId="164" fontId="4" fillId="0" borderId="5" xfId="2" quotePrefix="1" applyNumberFormat="1" applyFont="1" applyFill="1" applyBorder="1" applyAlignment="1">
      <alignment horizontal="center" vertical="top"/>
    </xf>
    <xf numFmtId="164" fontId="4" fillId="0" borderId="6" xfId="2" quotePrefix="1" applyNumberFormat="1" applyFont="1" applyFill="1" applyBorder="1" applyAlignment="1">
      <alignment horizontal="center" vertical="top"/>
    </xf>
    <xf numFmtId="1" fontId="4" fillId="0" borderId="10" xfId="2" applyNumberFormat="1" applyFont="1" applyFill="1" applyBorder="1" applyAlignment="1">
      <alignment horizontal="left" vertical="top" wrapText="1"/>
    </xf>
    <xf numFmtId="1" fontId="3" fillId="0" borderId="15" xfId="2" applyNumberFormat="1" applyFont="1" applyFill="1" applyBorder="1" applyAlignment="1">
      <alignment horizontal="left" vertical="top" wrapText="1"/>
    </xf>
    <xf numFmtId="164" fontId="4" fillId="0" borderId="6" xfId="2" quotePrefix="1" applyNumberFormat="1" applyFont="1" applyFill="1" applyBorder="1" applyAlignment="1">
      <alignment horizontal="left" vertical="top" wrapText="1"/>
    </xf>
    <xf numFmtId="1" fontId="4" fillId="0" borderId="5" xfId="2" applyNumberFormat="1" applyFont="1" applyFill="1" applyBorder="1" applyAlignment="1">
      <alignment vertical="top" wrapText="1"/>
    </xf>
    <xf numFmtId="0" fontId="13" fillId="0" borderId="5" xfId="0" applyFont="1" applyFill="1" applyBorder="1" applyAlignment="1">
      <alignment vertical="top"/>
    </xf>
    <xf numFmtId="42" fontId="3" fillId="0" borderId="15" xfId="2" applyNumberFormat="1" applyFont="1" applyFill="1" applyBorder="1" applyAlignment="1">
      <alignment horizontal="left" vertical="top" wrapText="1"/>
    </xf>
    <xf numFmtId="42" fontId="4" fillId="0" borderId="6" xfId="2" applyNumberFormat="1" applyFont="1" applyFill="1" applyBorder="1" applyAlignment="1">
      <alignment horizontal="left" vertical="top" wrapText="1"/>
    </xf>
    <xf numFmtId="42" fontId="4" fillId="0" borderId="5" xfId="2" applyNumberFormat="1" applyFont="1" applyFill="1" applyBorder="1" applyAlignment="1">
      <alignment horizontal="left" vertical="top" wrapText="1"/>
    </xf>
    <xf numFmtId="42" fontId="4" fillId="0" borderId="15" xfId="2" applyNumberFormat="1" applyFont="1" applyFill="1" applyBorder="1" applyAlignment="1">
      <alignment horizontal="left" vertical="top" wrapText="1"/>
    </xf>
    <xf numFmtId="42" fontId="4" fillId="0" borderId="7" xfId="2" applyNumberFormat="1" applyFont="1" applyFill="1" applyBorder="1" applyAlignment="1">
      <alignment horizontal="left" vertical="top"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quotePrefix="1" applyFont="1" applyFill="1" applyBorder="1"/>
    <xf numFmtId="0" fontId="0" fillId="0" borderId="0" xfId="0" applyFont="1" applyFill="1" applyBorder="1"/>
    <xf numFmtId="0" fontId="4" fillId="0" borderId="0" xfId="0" applyFont="1" applyFill="1" applyBorder="1" applyAlignment="1">
      <alignment horizontal="left"/>
    </xf>
    <xf numFmtId="0" fontId="4" fillId="0" borderId="0" xfId="0" applyFont="1" applyFill="1" applyBorder="1" applyAlignment="1">
      <alignment horizontal="left" indent="1"/>
    </xf>
    <xf numFmtId="0" fontId="4" fillId="0" borderId="0" xfId="0" applyFont="1" applyFill="1" applyAlignment="1">
      <alignment horizontal="left"/>
    </xf>
    <xf numFmtId="0" fontId="0" fillId="0" borderId="0" xfId="0" applyFill="1" applyAlignment="1">
      <alignment horizontal="left"/>
    </xf>
    <xf numFmtId="0" fontId="0" fillId="0" borderId="0" xfId="0" applyAlignment="1">
      <alignment horizontal="left"/>
    </xf>
    <xf numFmtId="0" fontId="4" fillId="0" borderId="0" xfId="5" applyFont="1" applyFill="1"/>
    <xf numFmtId="0" fontId="4" fillId="0" borderId="0" xfId="0" applyFont="1"/>
    <xf numFmtId="0" fontId="4" fillId="0" borderId="0" xfId="5" applyFont="1" applyFill="1" applyBorder="1"/>
    <xf numFmtId="0" fontId="4" fillId="0" borderId="0" xfId="5" applyFont="1" applyFill="1" applyAlignment="1">
      <alignment horizontal="center" vertical="center"/>
    </xf>
    <xf numFmtId="0" fontId="4" fillId="0" borderId="14" xfId="5" applyFont="1" applyFill="1" applyBorder="1" applyAlignment="1">
      <alignment horizontal="center" vertical="center"/>
    </xf>
    <xf numFmtId="0" fontId="4" fillId="0" borderId="12" xfId="5" applyFont="1" applyFill="1" applyBorder="1" applyAlignment="1">
      <alignment horizontal="center" vertical="center"/>
    </xf>
    <xf numFmtId="0" fontId="4" fillId="0" borderId="0" xfId="5" applyFont="1" applyFill="1" applyBorder="1" applyAlignment="1">
      <alignment horizontal="center" vertical="center" textRotation="90" wrapText="1"/>
    </xf>
    <xf numFmtId="0" fontId="4" fillId="0" borderId="9" xfId="5" applyFont="1" applyFill="1" applyBorder="1" applyAlignment="1">
      <alignment horizontal="center" vertical="center" textRotation="90" wrapText="1"/>
    </xf>
    <xf numFmtId="0" fontId="10" fillId="0" borderId="0" xfId="5" applyFont="1" applyFill="1" applyAlignment="1">
      <alignment horizontal="left" vertical="center"/>
    </xf>
    <xf numFmtId="0" fontId="10" fillId="0" borderId="11" xfId="5" applyFont="1" applyFill="1" applyBorder="1" applyAlignment="1">
      <alignment horizontal="left" vertical="center"/>
    </xf>
    <xf numFmtId="0" fontId="4" fillId="0" borderId="8" xfId="5" applyFont="1" applyFill="1" applyBorder="1" applyAlignment="1">
      <alignment horizontal="center" vertical="center"/>
    </xf>
    <xf numFmtId="0" fontId="4" fillId="0" borderId="0" xfId="5" applyFont="1" applyFill="1" applyBorder="1" applyAlignment="1">
      <alignment horizontal="center" vertical="center"/>
    </xf>
    <xf numFmtId="0" fontId="4" fillId="0" borderId="9" xfId="5" applyFont="1" applyFill="1" applyBorder="1" applyAlignment="1">
      <alignment horizontal="center" vertical="center"/>
    </xf>
    <xf numFmtId="0" fontId="4" fillId="0" borderId="11" xfId="5" applyFont="1" applyFill="1" applyBorder="1"/>
    <xf numFmtId="0" fontId="4" fillId="0" borderId="11" xfId="5" applyFont="1" applyFill="1" applyBorder="1" applyAlignment="1">
      <alignment horizontal="center" vertical="center"/>
    </xf>
    <xf numFmtId="0" fontId="4" fillId="0" borderId="5" xfId="5" applyFont="1" applyFill="1" applyBorder="1" applyAlignment="1">
      <alignment vertical="top"/>
    </xf>
    <xf numFmtId="0" fontId="4" fillId="0" borderId="15" xfId="5" applyFont="1" applyFill="1" applyBorder="1" applyAlignment="1">
      <alignment horizontal="left" vertical="top" wrapText="1"/>
    </xf>
    <xf numFmtId="10" fontId="4" fillId="0" borderId="5" xfId="5" applyNumberFormat="1" applyFont="1" applyFill="1" applyBorder="1" applyAlignment="1">
      <alignment horizontal="center" vertical="top"/>
    </xf>
    <xf numFmtId="10" fontId="4" fillId="0" borderId="6" xfId="5" applyNumberFormat="1" applyFont="1" applyFill="1" applyBorder="1" applyAlignment="1">
      <alignment horizontal="center" vertical="top"/>
    </xf>
    <xf numFmtId="10" fontId="4" fillId="0" borderId="7" xfId="5" applyNumberFormat="1" applyFont="1" applyFill="1" applyBorder="1" applyAlignment="1">
      <alignment horizontal="center" vertical="top"/>
    </xf>
    <xf numFmtId="10" fontId="4" fillId="0" borderId="5" xfId="5" applyNumberFormat="1" applyFont="1" applyFill="1" applyBorder="1" applyAlignment="1">
      <alignment horizontal="left" vertical="top" wrapText="1"/>
    </xf>
    <xf numFmtId="164" fontId="4" fillId="0" borderId="15" xfId="1" applyNumberFormat="1" applyFont="1" applyFill="1" applyBorder="1" applyAlignment="1">
      <alignment horizontal="center" vertical="top" wrapText="1"/>
    </xf>
    <xf numFmtId="10" fontId="4" fillId="0" borderId="15" xfId="5" applyNumberFormat="1" applyFont="1" applyFill="1" applyBorder="1" applyAlignment="1">
      <alignment horizontal="left" vertical="top" wrapText="1"/>
    </xf>
    <xf numFmtId="0" fontId="4" fillId="0" borderId="5" xfId="5" applyFont="1" applyFill="1" applyBorder="1" applyAlignment="1">
      <alignment vertical="top" wrapText="1"/>
    </xf>
    <xf numFmtId="0" fontId="4" fillId="0" borderId="5" xfId="5" quotePrefix="1" applyFont="1" applyFill="1" applyBorder="1" applyAlignment="1">
      <alignment horizontal="center" vertical="top"/>
    </xf>
    <xf numFmtId="0" fontId="4" fillId="0" borderId="6" xfId="5" quotePrefix="1" applyFont="1" applyFill="1" applyBorder="1" applyAlignment="1">
      <alignment horizontal="center" vertical="top"/>
    </xf>
    <xf numFmtId="0" fontId="4" fillId="0" borderId="7" xfId="5" quotePrefix="1" applyFont="1" applyFill="1" applyBorder="1" applyAlignment="1">
      <alignment horizontal="center" vertical="top"/>
    </xf>
    <xf numFmtId="0" fontId="4" fillId="0" borderId="5" xfId="5" applyFont="1" applyFill="1" applyBorder="1" applyAlignment="1">
      <alignment horizontal="left" vertical="top" wrapText="1"/>
    </xf>
    <xf numFmtId="165" fontId="4" fillId="0" borderId="15" xfId="5" quotePrefix="1" applyNumberFormat="1" applyFont="1" applyFill="1" applyBorder="1" applyAlignment="1">
      <alignment horizontal="center" vertical="top"/>
    </xf>
    <xf numFmtId="9" fontId="4" fillId="0" borderId="15" xfId="1" applyFont="1" applyFill="1" applyBorder="1" applyAlignment="1">
      <alignment horizontal="center" vertical="top" wrapText="1"/>
    </xf>
    <xf numFmtId="0" fontId="10" fillId="0" borderId="12" xfId="5" applyFont="1" applyFill="1" applyBorder="1" applyAlignment="1"/>
    <xf numFmtId="0" fontId="4" fillId="0" borderId="12" xfId="5" applyFont="1" applyFill="1" applyBorder="1" applyAlignment="1">
      <alignment vertical="top"/>
    </xf>
    <xf numFmtId="0" fontId="4" fillId="0" borderId="12" xfId="5" applyFont="1" applyFill="1" applyBorder="1" applyAlignment="1">
      <alignment horizontal="left" vertical="top"/>
    </xf>
    <xf numFmtId="0" fontId="4" fillId="0" borderId="5" xfId="5" applyFont="1" applyFill="1" applyBorder="1" applyAlignment="1">
      <alignment horizontal="left" vertical="top"/>
    </xf>
    <xf numFmtId="0" fontId="3" fillId="0" borderId="15" xfId="5" applyFont="1" applyFill="1" applyBorder="1" applyAlignment="1">
      <alignment horizontal="left" vertical="top" wrapText="1"/>
    </xf>
    <xf numFmtId="0" fontId="4" fillId="0" borderId="10" xfId="5" applyFont="1" applyFill="1" applyBorder="1" applyAlignment="1">
      <alignment horizontal="left" vertical="top" wrapText="1"/>
    </xf>
    <xf numFmtId="10" fontId="4" fillId="0" borderId="2" xfId="5" applyNumberFormat="1" applyFont="1" applyFill="1" applyBorder="1" applyAlignment="1">
      <alignment horizontal="left" vertical="top"/>
    </xf>
    <xf numFmtId="10" fontId="4" fillId="0" borderId="3" xfId="5" applyNumberFormat="1" applyFont="1" applyFill="1" applyBorder="1" applyAlignment="1">
      <alignment horizontal="center" vertical="top"/>
    </xf>
    <xf numFmtId="10" fontId="4" fillId="0" borderId="4" xfId="5" applyNumberFormat="1" applyFont="1" applyFill="1" applyBorder="1" applyAlignment="1">
      <alignment horizontal="center" vertical="top"/>
    </xf>
    <xf numFmtId="10" fontId="4" fillId="0" borderId="2" xfId="5" applyNumberFormat="1" applyFont="1" applyFill="1" applyBorder="1" applyAlignment="1">
      <alignment horizontal="left" vertical="top" wrapText="1"/>
    </xf>
    <xf numFmtId="9" fontId="4" fillId="0" borderId="10" xfId="1" applyFont="1" applyFill="1" applyBorder="1" applyAlignment="1">
      <alignment horizontal="center" vertical="top" wrapText="1"/>
    </xf>
    <xf numFmtId="10" fontId="4" fillId="0" borderId="10" xfId="5" applyNumberFormat="1" applyFont="1" applyFill="1" applyBorder="1" applyAlignment="1">
      <alignment horizontal="left" vertical="top" wrapText="1"/>
    </xf>
    <xf numFmtId="0" fontId="8" fillId="0" borderId="0" xfId="0" applyFont="1" applyFill="1"/>
    <xf numFmtId="0" fontId="8" fillId="0" borderId="15" xfId="2" applyFont="1" applyFill="1" applyBorder="1" applyAlignment="1">
      <alignment horizontal="left" vertical="top" wrapText="1"/>
    </xf>
    <xf numFmtId="10" fontId="8" fillId="0" borderId="5" xfId="2" applyNumberFormat="1" applyFont="1" applyFill="1" applyBorder="1" applyAlignment="1">
      <alignment horizontal="left" vertical="top" wrapText="1"/>
    </xf>
    <xf numFmtId="0" fontId="8" fillId="0" borderId="17" xfId="2" applyFont="1" applyFill="1" applyBorder="1" applyAlignment="1">
      <alignment horizontal="left" vertical="top" wrapText="1"/>
    </xf>
    <xf numFmtId="0" fontId="14" fillId="0" borderId="15" xfId="2" applyFont="1" applyFill="1" applyBorder="1" applyAlignment="1">
      <alignment horizontal="left" vertical="top" wrapText="1"/>
    </xf>
    <xf numFmtId="0" fontId="4" fillId="0" borderId="0" xfId="0" applyFont="1" applyFill="1" applyAlignment="1">
      <alignment horizontal="center"/>
    </xf>
    <xf numFmtId="0" fontId="4" fillId="0" borderId="7" xfId="0" applyFont="1" applyFill="1" applyBorder="1" applyAlignment="1">
      <alignment vertical="center"/>
    </xf>
    <xf numFmtId="0" fontId="10" fillId="0" borderId="14" xfId="0" applyFont="1" applyFill="1" applyBorder="1"/>
    <xf numFmtId="0" fontId="4" fillId="0" borderId="8" xfId="0" applyFont="1" applyFill="1" applyBorder="1" applyAlignment="1">
      <alignment vertical="top"/>
    </xf>
    <xf numFmtId="9" fontId="4" fillId="0" borderId="8" xfId="1" applyNumberFormat="1" applyFont="1" applyFill="1" applyBorder="1" applyAlignment="1">
      <alignment horizontal="center" vertical="top" wrapText="1"/>
    </xf>
    <xf numFmtId="0" fontId="10" fillId="0" borderId="1" xfId="0" applyFont="1" applyFill="1" applyBorder="1" applyAlignment="1"/>
    <xf numFmtId="0" fontId="10" fillId="0" borderId="0" xfId="0" applyFont="1" applyFill="1" applyBorder="1" applyAlignment="1">
      <alignment horizontal="left" vertical="top"/>
    </xf>
    <xf numFmtId="0" fontId="10" fillId="0" borderId="11" xfId="0" applyFont="1" applyFill="1" applyBorder="1" applyAlignment="1">
      <alignment horizontal="left" vertical="top"/>
    </xf>
    <xf numFmtId="0" fontId="4" fillId="0" borderId="10" xfId="0" applyFont="1" applyFill="1" applyBorder="1"/>
    <xf numFmtId="1" fontId="3" fillId="0" borderId="10" xfId="1" applyNumberFormat="1" applyFont="1" applyFill="1" applyBorder="1" applyAlignment="1">
      <alignment horizontal="left" vertical="top" wrapText="1"/>
    </xf>
    <xf numFmtId="1" fontId="3" fillId="0" borderId="11" xfId="1" applyNumberFormat="1" applyFont="1" applyFill="1" applyBorder="1" applyAlignment="1">
      <alignment horizontal="left" vertical="top" wrapText="1"/>
    </xf>
    <xf numFmtId="1" fontId="3" fillId="0" borderId="14" xfId="1" applyNumberFormat="1" applyFont="1" applyFill="1" applyBorder="1" applyAlignment="1">
      <alignment horizontal="left" vertical="top" wrapText="1"/>
    </xf>
    <xf numFmtId="1" fontId="4" fillId="0" borderId="11" xfId="1" applyNumberFormat="1" applyFont="1" applyFill="1" applyBorder="1" applyAlignment="1">
      <alignment horizontal="left" vertical="top" wrapText="1"/>
    </xf>
    <xf numFmtId="0" fontId="4" fillId="0" borderId="4" xfId="1" quotePrefix="1" applyNumberFormat="1" applyFont="1" applyFill="1" applyBorder="1" applyAlignment="1">
      <alignment horizontal="center" vertical="top" wrapText="1"/>
    </xf>
    <xf numFmtId="9" fontId="4" fillId="0" borderId="13" xfId="1" applyFont="1" applyFill="1" applyBorder="1" applyAlignment="1">
      <alignment horizontal="center" vertical="top" wrapText="1"/>
    </xf>
    <xf numFmtId="0" fontId="4" fillId="0" borderId="4" xfId="1" applyNumberFormat="1" applyFont="1" applyFill="1" applyBorder="1" applyAlignment="1">
      <alignment horizontal="center" vertical="top" wrapText="1"/>
    </xf>
    <xf numFmtId="9" fontId="4" fillId="0" borderId="9" xfId="1" applyFont="1" applyFill="1" applyBorder="1" applyAlignment="1">
      <alignment horizontal="center" vertical="top" wrapText="1"/>
    </xf>
    <xf numFmtId="9" fontId="4" fillId="0" borderId="8" xfId="1" applyFont="1" applyFill="1" applyBorder="1" applyAlignment="1">
      <alignment horizontal="center" vertical="top" wrapText="1"/>
    </xf>
    <xf numFmtId="0" fontId="4" fillId="0" borderId="9" xfId="1" quotePrefix="1" applyNumberFormat="1" applyFont="1" applyFill="1" applyBorder="1" applyAlignment="1">
      <alignment horizontal="center" vertical="top" wrapText="1"/>
    </xf>
    <xf numFmtId="9" fontId="4" fillId="0" borderId="2" xfId="1" applyFont="1" applyFill="1" applyBorder="1" applyAlignment="1">
      <alignment horizontal="center" vertical="top" wrapText="1"/>
    </xf>
    <xf numFmtId="9" fontId="4" fillId="0" borderId="12" xfId="1" applyFont="1" applyFill="1" applyBorder="1" applyAlignment="1">
      <alignment horizontal="center" vertical="top" wrapText="1"/>
    </xf>
    <xf numFmtId="9" fontId="4" fillId="0" borderId="4" xfId="1" applyFont="1" applyFill="1" applyBorder="1" applyAlignment="1">
      <alignment horizontal="center" vertical="top" wrapText="1"/>
    </xf>
    <xf numFmtId="10" fontId="4" fillId="0" borderId="4" xfId="1" applyNumberFormat="1" applyFont="1" applyFill="1" applyBorder="1" applyAlignment="1">
      <alignment horizontal="center" vertical="top" wrapText="1"/>
    </xf>
    <xf numFmtId="0" fontId="4" fillId="0" borderId="13" xfId="1" quotePrefix="1" applyNumberFormat="1" applyFont="1" applyFill="1" applyBorder="1" applyAlignment="1">
      <alignment horizontal="center" vertical="top" wrapText="1"/>
    </xf>
    <xf numFmtId="9" fontId="4" fillId="0" borderId="4" xfId="1" applyFont="1" applyFill="1" applyBorder="1" applyAlignment="1">
      <alignment horizontal="left" vertical="top" wrapText="1"/>
    </xf>
    <xf numFmtId="0" fontId="13" fillId="0" borderId="0" xfId="0" applyFont="1" applyFill="1"/>
    <xf numFmtId="0" fontId="13" fillId="0" borderId="0" xfId="0" applyFont="1" applyFill="1" applyBorder="1"/>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0" xfId="0" applyFont="1" applyAlignment="1">
      <alignment horizontal="left" vertical="top"/>
    </xf>
    <xf numFmtId="1" fontId="4" fillId="0" borderId="3" xfId="1" applyNumberFormat="1" applyFont="1" applyFill="1" applyBorder="1" applyAlignment="1">
      <alignment horizontal="center" vertical="top" wrapText="1"/>
    </xf>
    <xf numFmtId="164" fontId="4" fillId="0" borderId="2" xfId="1" applyNumberFormat="1" applyFont="1" applyFill="1" applyBorder="1" applyAlignment="1">
      <alignment horizontal="center" vertical="top" wrapText="1"/>
    </xf>
    <xf numFmtId="9" fontId="4" fillId="0" borderId="2" xfId="2" applyNumberFormat="1" applyFont="1" applyFill="1" applyBorder="1" applyAlignment="1">
      <alignment horizontal="center" vertical="top" wrapText="1"/>
    </xf>
    <xf numFmtId="9" fontId="4" fillId="0" borderId="4" xfId="2" applyNumberFormat="1" applyFont="1" applyFill="1" applyBorder="1" applyAlignment="1">
      <alignment horizontal="center" vertical="top" wrapText="1"/>
    </xf>
    <xf numFmtId="1" fontId="4" fillId="0" borderId="0" xfId="1" applyNumberFormat="1" applyFont="1" applyFill="1" applyBorder="1" applyAlignment="1">
      <alignment horizontal="center" vertical="top" wrapText="1"/>
    </xf>
    <xf numFmtId="164" fontId="4" fillId="0" borderId="8" xfId="1" applyNumberFormat="1" applyFont="1" applyFill="1" applyBorder="1" applyAlignment="1">
      <alignment horizontal="center" vertical="top" wrapText="1"/>
    </xf>
    <xf numFmtId="0" fontId="4" fillId="0" borderId="9" xfId="1" applyNumberFormat="1" applyFont="1" applyFill="1" applyBorder="1" applyAlignment="1">
      <alignment horizontal="center" vertical="top" wrapText="1"/>
    </xf>
    <xf numFmtId="9" fontId="4" fillId="0" borderId="8" xfId="2" applyNumberFormat="1" applyFont="1" applyFill="1" applyBorder="1" applyAlignment="1">
      <alignment horizontal="center" vertical="top" wrapText="1"/>
    </xf>
    <xf numFmtId="9" fontId="4" fillId="0" borderId="9" xfId="2" applyNumberFormat="1" applyFont="1" applyFill="1" applyBorder="1" applyAlignment="1">
      <alignment horizontal="center" vertical="top" wrapText="1"/>
    </xf>
    <xf numFmtId="1" fontId="4" fillId="0" borderId="1" xfId="1" applyNumberFormat="1" applyFont="1" applyFill="1" applyBorder="1" applyAlignment="1">
      <alignment horizontal="center" vertical="top" wrapText="1"/>
    </xf>
    <xf numFmtId="164" fontId="4" fillId="0" borderId="12" xfId="1" applyNumberFormat="1" applyFont="1" applyFill="1" applyBorder="1" applyAlignment="1">
      <alignment horizontal="center" vertical="top" wrapText="1"/>
    </xf>
    <xf numFmtId="9" fontId="4" fillId="0" borderId="12" xfId="2" applyNumberFormat="1" applyFont="1" applyFill="1" applyBorder="1" applyAlignment="1">
      <alignment horizontal="center" vertical="top" wrapText="1"/>
    </xf>
    <xf numFmtId="9" fontId="4" fillId="0" borderId="13" xfId="2" applyNumberFormat="1" applyFont="1" applyFill="1" applyBorder="1" applyAlignment="1">
      <alignment horizontal="center" vertical="top" wrapText="1"/>
    </xf>
    <xf numFmtId="0" fontId="4" fillId="0" borderId="4" xfId="2" quotePrefix="1" applyNumberFormat="1" applyFont="1" applyFill="1" applyBorder="1" applyAlignment="1">
      <alignment horizontal="center" vertical="top" wrapText="1"/>
    </xf>
    <xf numFmtId="10" fontId="4" fillId="0" borderId="8" xfId="1" applyNumberFormat="1" applyFont="1" applyFill="1" applyBorder="1" applyAlignment="1">
      <alignment horizontal="center" vertical="top" wrapText="1"/>
    </xf>
    <xf numFmtId="1" fontId="4" fillId="0" borderId="14" xfId="2" applyNumberFormat="1" applyFont="1" applyFill="1" applyBorder="1" applyAlignment="1">
      <alignment horizontal="left" vertical="top" wrapText="1"/>
    </xf>
    <xf numFmtId="0" fontId="4" fillId="0" borderId="13" xfId="1" applyNumberFormat="1" applyFont="1" applyFill="1" applyBorder="1" applyAlignment="1">
      <alignment horizontal="center" vertical="top" wrapText="1"/>
    </xf>
    <xf numFmtId="1" fontId="4" fillId="0" borderId="6" xfId="1" applyNumberFormat="1" applyFont="1" applyFill="1" applyBorder="1" applyAlignment="1">
      <alignment horizontal="center" vertical="top" wrapText="1"/>
    </xf>
    <xf numFmtId="0" fontId="4" fillId="0" borderId="7" xfId="1" applyNumberFormat="1" applyFont="1" applyFill="1" applyBorder="1" applyAlignment="1">
      <alignment horizontal="center" vertical="top" wrapText="1"/>
    </xf>
    <xf numFmtId="0" fontId="4" fillId="0" borderId="9" xfId="2" quotePrefix="1" applyNumberFormat="1" applyFont="1" applyFill="1" applyBorder="1" applyAlignment="1">
      <alignment horizontal="center" vertical="top" wrapText="1"/>
    </xf>
    <xf numFmtId="10" fontId="4" fillId="0" borderId="2" xfId="1" applyNumberFormat="1" applyFont="1" applyFill="1" applyBorder="1" applyAlignment="1">
      <alignment horizontal="center" vertical="top" wrapText="1"/>
    </xf>
    <xf numFmtId="1" fontId="4" fillId="0" borderId="11" xfId="2" applyNumberFormat="1" applyFont="1" applyFill="1" applyBorder="1" applyAlignment="1">
      <alignment horizontal="left" vertical="top" wrapText="1"/>
    </xf>
    <xf numFmtId="9" fontId="4" fillId="0" borderId="4" xfId="2" applyNumberFormat="1" applyFont="1" applyFill="1" applyBorder="1" applyAlignment="1">
      <alignment horizontal="left" vertical="top" wrapText="1"/>
    </xf>
    <xf numFmtId="10" fontId="4" fillId="0" borderId="9" xfId="1" applyNumberFormat="1" applyFont="1" applyFill="1" applyBorder="1" applyAlignment="1">
      <alignment horizontal="center" vertical="top" wrapText="1"/>
    </xf>
    <xf numFmtId="1" fontId="4" fillId="0" borderId="0" xfId="2" applyNumberFormat="1" applyFont="1" applyFill="1" applyBorder="1" applyAlignment="1">
      <alignment horizontal="center" vertical="top" wrapText="1"/>
    </xf>
    <xf numFmtId="164" fontId="4" fillId="0" borderId="8" xfId="2" applyNumberFormat="1" applyFont="1" applyFill="1" applyBorder="1" applyAlignment="1">
      <alignment horizontal="center" vertical="top" wrapText="1"/>
    </xf>
    <xf numFmtId="1" fontId="4" fillId="0" borderId="1" xfId="2" applyNumberFormat="1" applyFont="1" applyFill="1" applyBorder="1" applyAlignment="1">
      <alignment horizontal="center" vertical="top" wrapText="1"/>
    </xf>
    <xf numFmtId="164" fontId="4" fillId="0" borderId="12" xfId="2" applyNumberFormat="1" applyFont="1" applyFill="1" applyBorder="1" applyAlignment="1">
      <alignment horizontal="center" vertical="top" wrapText="1"/>
    </xf>
    <xf numFmtId="0" fontId="4" fillId="0" borderId="13" xfId="2" quotePrefix="1" applyNumberFormat="1" applyFont="1" applyFill="1" applyBorder="1" applyAlignment="1">
      <alignment horizontal="center" vertical="top" wrapText="1"/>
    </xf>
    <xf numFmtId="0" fontId="4" fillId="0" borderId="8" xfId="0" applyFont="1" applyFill="1" applyBorder="1" applyAlignment="1">
      <alignment vertical="top" wrapText="1"/>
    </xf>
    <xf numFmtId="0" fontId="4" fillId="0" borderId="2" xfId="2" applyFont="1" applyFill="1" applyBorder="1" applyAlignment="1">
      <alignment vertical="top"/>
    </xf>
    <xf numFmtId="1" fontId="4" fillId="0" borderId="3" xfId="2" applyNumberFormat="1" applyFont="1" applyFill="1" applyBorder="1" applyAlignment="1">
      <alignment horizontal="center" vertical="top" wrapText="1"/>
    </xf>
    <xf numFmtId="164" fontId="4" fillId="0" borderId="2" xfId="2" applyNumberFormat="1" applyFont="1" applyFill="1" applyBorder="1" applyAlignment="1">
      <alignment horizontal="center" vertical="top" wrapText="1"/>
    </xf>
    <xf numFmtId="0" fontId="4" fillId="0" borderId="4" xfId="2" applyNumberFormat="1" applyFont="1" applyFill="1" applyBorder="1" applyAlignment="1">
      <alignment horizontal="center" vertical="top" wrapText="1"/>
    </xf>
    <xf numFmtId="0" fontId="4" fillId="0" borderId="8" xfId="2" applyFont="1" applyFill="1" applyBorder="1" applyAlignment="1">
      <alignment vertical="top"/>
    </xf>
    <xf numFmtId="0" fontId="4" fillId="0" borderId="9" xfId="2" applyNumberFormat="1" applyFont="1" applyFill="1" applyBorder="1" applyAlignment="1">
      <alignment horizontal="center" vertical="top" wrapText="1"/>
    </xf>
    <xf numFmtId="0" fontId="4" fillId="0" borderId="12" xfId="2" applyFont="1" applyFill="1" applyBorder="1" applyAlignment="1">
      <alignment vertical="top"/>
    </xf>
    <xf numFmtId="0" fontId="4" fillId="0" borderId="13" xfId="2" applyNumberFormat="1" applyFont="1" applyFill="1" applyBorder="1" applyAlignment="1">
      <alignment horizontal="center" vertical="top" wrapText="1"/>
    </xf>
    <xf numFmtId="0" fontId="4" fillId="0" borderId="2" xfId="2" applyFont="1" applyFill="1" applyBorder="1" applyAlignment="1">
      <alignment vertical="top" wrapText="1"/>
    </xf>
    <xf numFmtId="0" fontId="4" fillId="0" borderId="0" xfId="0" applyFont="1" applyFill="1" applyBorder="1" applyAlignment="1">
      <alignment vertical="top"/>
    </xf>
    <xf numFmtId="0" fontId="4" fillId="0" borderId="9" xfId="0" applyFont="1" applyFill="1" applyBorder="1" applyAlignment="1">
      <alignment horizontal="left" vertical="top"/>
    </xf>
    <xf numFmtId="10" fontId="4" fillId="0" borderId="8" xfId="0" applyNumberFormat="1" applyFont="1" applyFill="1" applyBorder="1" applyAlignment="1">
      <alignment horizontal="right" vertical="top"/>
    </xf>
    <xf numFmtId="0" fontId="4" fillId="0" borderId="9" xfId="0" applyFont="1" applyFill="1" applyBorder="1" applyAlignment="1">
      <alignment vertical="top"/>
    </xf>
    <xf numFmtId="0" fontId="4" fillId="0" borderId="11" xfId="2" applyFont="1" applyFill="1" applyBorder="1" applyAlignment="1">
      <alignment horizontal="left" vertical="center" wrapText="1"/>
    </xf>
    <xf numFmtId="1" fontId="4" fillId="0" borderId="9" xfId="2" applyNumberFormat="1" applyFont="1" applyFill="1" applyBorder="1" applyAlignment="1">
      <alignment horizontal="center" vertical="top" wrapText="1"/>
    </xf>
    <xf numFmtId="0" fontId="4" fillId="0" borderId="14" xfId="2" applyFont="1" applyFill="1" applyBorder="1" applyAlignment="1">
      <alignment horizontal="left" vertical="center" wrapText="1"/>
    </xf>
    <xf numFmtId="1" fontId="4" fillId="0" borderId="13" xfId="2" applyNumberFormat="1" applyFont="1" applyFill="1" applyBorder="1" applyAlignment="1">
      <alignment horizontal="center" vertical="top" wrapText="1"/>
    </xf>
    <xf numFmtId="1" fontId="4" fillId="0" borderId="12" xfId="2" applyNumberFormat="1" applyFont="1" applyFill="1" applyBorder="1" applyAlignment="1">
      <alignment horizontal="center" vertical="top" wrapText="1"/>
    </xf>
    <xf numFmtId="0" fontId="4" fillId="0" borderId="14" xfId="0" applyFont="1" applyFill="1" applyBorder="1" applyAlignment="1">
      <alignment horizontal="left" vertical="center" wrapText="1"/>
    </xf>
    <xf numFmtId="0" fontId="4" fillId="0" borderId="11" xfId="2" applyFont="1" applyFill="1" applyBorder="1"/>
    <xf numFmtId="1" fontId="4" fillId="0" borderId="9" xfId="2" quotePrefix="1" applyNumberFormat="1" applyFont="1" applyFill="1" applyBorder="1" applyAlignment="1">
      <alignment horizontal="center" vertical="top" wrapText="1"/>
    </xf>
    <xf numFmtId="1" fontId="4" fillId="0" borderId="8" xfId="2" applyNumberFormat="1" applyFont="1" applyFill="1" applyBorder="1" applyAlignment="1">
      <alignment horizontal="center" vertical="top" wrapText="1"/>
    </xf>
    <xf numFmtId="0" fontId="4" fillId="0" borderId="14" xfId="2" applyFont="1" applyFill="1" applyBorder="1"/>
    <xf numFmtId="0" fontId="4" fillId="0" borderId="10" xfId="2" applyFont="1" applyFill="1" applyBorder="1" applyAlignment="1">
      <alignment vertical="top"/>
    </xf>
    <xf numFmtId="0" fontId="4" fillId="0" borderId="11" xfId="2" applyFont="1" applyFill="1" applyBorder="1" applyAlignment="1">
      <alignment vertical="top"/>
    </xf>
    <xf numFmtId="0" fontId="4" fillId="0" borderId="14" xfId="2" applyFont="1" applyFill="1" applyBorder="1" applyAlignment="1">
      <alignment vertical="top"/>
    </xf>
    <xf numFmtId="0" fontId="4" fillId="0" borderId="8"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9" xfId="5" applyFont="1" applyFill="1" applyBorder="1" applyAlignment="1">
      <alignment horizontal="center" vertical="center" wrapText="1"/>
    </xf>
    <xf numFmtId="0" fontId="10" fillId="0" borderId="0" xfId="5" applyFont="1" applyFill="1" applyBorder="1" applyAlignment="1">
      <alignment horizontal="left" vertical="center"/>
    </xf>
    <xf numFmtId="0" fontId="4" fillId="0" borderId="6" xfId="5" applyFont="1" applyFill="1" applyBorder="1" applyAlignment="1">
      <alignment horizontal="left" vertical="top" wrapText="1"/>
    </xf>
    <xf numFmtId="9" fontId="4" fillId="0" borderId="7" xfId="1" applyNumberFormat="1" applyFont="1" applyFill="1" applyBorder="1" applyAlignment="1">
      <alignment horizontal="left" vertical="top" wrapText="1"/>
    </xf>
    <xf numFmtId="0" fontId="4" fillId="0" borderId="2" xfId="5" applyFont="1" applyFill="1" applyBorder="1" applyAlignment="1">
      <alignment horizontal="left" vertical="top"/>
    </xf>
    <xf numFmtId="0" fontId="4" fillId="0" borderId="2" xfId="5" applyFont="1" applyFill="1" applyBorder="1" applyAlignment="1">
      <alignment horizontal="left" vertical="top" wrapText="1"/>
    </xf>
    <xf numFmtId="0" fontId="4" fillId="0" borderId="3" xfId="5" applyFont="1" applyFill="1" applyBorder="1" applyAlignment="1">
      <alignment horizontal="left" vertical="top" wrapText="1"/>
    </xf>
    <xf numFmtId="9" fontId="4" fillId="0" borderId="3" xfId="1" applyNumberFormat="1" applyFont="1" applyFill="1" applyBorder="1" applyAlignment="1">
      <alignment horizontal="left" vertical="top" wrapText="1"/>
    </xf>
    <xf numFmtId="0" fontId="4" fillId="0" borderId="12" xfId="5" applyFont="1" applyFill="1" applyBorder="1" applyAlignment="1">
      <alignment horizontal="left" vertical="top" wrapText="1"/>
    </xf>
    <xf numFmtId="0" fontId="4" fillId="0" borderId="1" xfId="5" applyFont="1" applyFill="1" applyBorder="1" applyAlignment="1">
      <alignment horizontal="left" vertical="top" wrapText="1"/>
    </xf>
    <xf numFmtId="0" fontId="4" fillId="0" borderId="8" xfId="5" applyFont="1" applyFill="1" applyBorder="1"/>
    <xf numFmtId="0" fontId="4" fillId="0" borderId="8" xfId="5" applyFont="1" applyFill="1" applyBorder="1" applyAlignment="1">
      <alignment horizontal="left" vertical="top" wrapText="1"/>
    </xf>
    <xf numFmtId="0" fontId="4" fillId="0" borderId="0" xfId="5" applyFont="1" applyFill="1" applyBorder="1" applyAlignment="1">
      <alignment horizontal="left" vertical="top" wrapText="1"/>
    </xf>
    <xf numFmtId="9" fontId="4" fillId="0" borderId="0" xfId="1" applyNumberFormat="1" applyFont="1" applyFill="1" applyBorder="1" applyAlignment="1">
      <alignment horizontal="left" vertical="top" wrapText="1"/>
    </xf>
    <xf numFmtId="0" fontId="4" fillId="0" borderId="12" xfId="5" applyFont="1" applyFill="1" applyBorder="1"/>
    <xf numFmtId="9" fontId="4" fillId="0" borderId="1" xfId="1" applyNumberFormat="1" applyFont="1" applyFill="1" applyBorder="1" applyAlignment="1">
      <alignment horizontal="left" vertical="top" wrapText="1"/>
    </xf>
    <xf numFmtId="9" fontId="4" fillId="0" borderId="13" xfId="1" applyNumberFormat="1" applyFont="1" applyFill="1" applyBorder="1" applyAlignment="1">
      <alignment horizontal="left" vertical="top" wrapText="1"/>
    </xf>
    <xf numFmtId="0" fontId="4" fillId="0" borderId="2" xfId="5" applyFont="1" applyFill="1" applyBorder="1" applyAlignment="1">
      <alignment vertical="top"/>
    </xf>
    <xf numFmtId="0" fontId="4" fillId="0" borderId="8" xfId="5" applyFont="1" applyFill="1" applyBorder="1" applyAlignment="1">
      <alignment vertical="top"/>
    </xf>
    <xf numFmtId="0" fontId="4" fillId="0" borderId="11" xfId="5" applyFont="1" applyFill="1" applyBorder="1" applyAlignment="1">
      <alignment vertical="top"/>
    </xf>
    <xf numFmtId="0" fontId="4" fillId="0" borderId="9" xfId="5" applyFont="1" applyFill="1" applyBorder="1" applyAlignment="1">
      <alignment horizontal="left" vertical="top" wrapText="1"/>
    </xf>
    <xf numFmtId="0" fontId="4" fillId="0" borderId="0" xfId="5" applyNumberFormat="1" applyFont="1" applyFill="1" applyBorder="1"/>
    <xf numFmtId="164" fontId="4" fillId="0" borderId="1" xfId="1" applyNumberFormat="1" applyFont="1" applyFill="1" applyBorder="1" applyAlignment="1">
      <alignment horizontal="left" vertical="top" wrapText="1"/>
    </xf>
    <xf numFmtId="0" fontId="4" fillId="0" borderId="8" xfId="5" applyFont="1" applyFill="1" applyBorder="1" applyAlignment="1">
      <alignment horizontal="left" vertical="top"/>
    </xf>
    <xf numFmtId="1" fontId="4" fillId="0" borderId="0" xfId="5" quotePrefix="1" applyNumberFormat="1" applyFont="1" applyFill="1" applyBorder="1" applyAlignment="1">
      <alignment horizontal="left" vertical="top" wrapText="1"/>
    </xf>
    <xf numFmtId="9" fontId="4" fillId="0" borderId="4" xfId="1" applyNumberFormat="1" applyFont="1" applyFill="1" applyBorder="1" applyAlignment="1">
      <alignment horizontal="left" vertical="top" wrapText="1"/>
    </xf>
    <xf numFmtId="0" fontId="4" fillId="0" borderId="10" xfId="5" applyFont="1" applyFill="1" applyBorder="1" applyAlignment="1">
      <alignment horizontal="left" vertical="top"/>
    </xf>
    <xf numFmtId="0" fontId="10" fillId="0" borderId="12" xfId="5" applyFont="1" applyFill="1" applyBorder="1" applyAlignment="1">
      <alignment horizontal="left" vertical="top" wrapText="1"/>
    </xf>
    <xf numFmtId="0" fontId="4" fillId="0" borderId="12" xfId="5" applyFont="1" applyFill="1" applyBorder="1" applyAlignment="1">
      <alignment horizontal="left" vertical="top" wrapText="1" indent="1"/>
    </xf>
    <xf numFmtId="0" fontId="4" fillId="0" borderId="1" xfId="5" applyFont="1" applyFill="1" applyBorder="1" applyAlignment="1">
      <alignment horizontal="left" vertical="top" wrapText="1" indent="1"/>
    </xf>
    <xf numFmtId="0" fontId="4" fillId="0" borderId="13" xfId="5" applyFont="1" applyFill="1" applyBorder="1" applyAlignment="1">
      <alignment horizontal="left" vertical="top" wrapText="1" indent="1"/>
    </xf>
    <xf numFmtId="0" fontId="3" fillId="0" borderId="0" xfId="5" applyFont="1" applyFill="1"/>
    <xf numFmtId="0" fontId="4" fillId="0" borderId="0" xfId="5" applyFont="1" applyFill="1" applyBorder="1" applyAlignment="1">
      <alignment horizontal="left" vertical="top" wrapText="1" indent="1"/>
    </xf>
    <xf numFmtId="0" fontId="3" fillId="0" borderId="8" xfId="5" applyFont="1" applyFill="1" applyBorder="1" applyAlignment="1">
      <alignment horizontal="left" vertical="top" wrapText="1"/>
    </xf>
    <xf numFmtId="9" fontId="4" fillId="0" borderId="13" xfId="1" quotePrefix="1" applyFont="1" applyFill="1" applyBorder="1" applyAlignment="1">
      <alignment horizontal="left" vertical="top" wrapText="1"/>
    </xf>
    <xf numFmtId="9" fontId="4" fillId="0" borderId="6" xfId="5" applyNumberFormat="1" applyFont="1" applyFill="1" applyBorder="1" applyAlignment="1">
      <alignment horizontal="left" vertical="top" wrapText="1"/>
    </xf>
    <xf numFmtId="10" fontId="4" fillId="0" borderId="0" xfId="5" applyNumberFormat="1" applyFont="1" applyFill="1" applyBorder="1" applyAlignment="1">
      <alignment horizontal="left" vertical="top" wrapText="1"/>
    </xf>
    <xf numFmtId="9" fontId="4" fillId="0" borderId="1" xfId="5" applyNumberFormat="1" applyFont="1" applyFill="1" applyBorder="1" applyAlignment="1">
      <alignment horizontal="left" vertical="top" wrapText="1"/>
    </xf>
    <xf numFmtId="9" fontId="13" fillId="0" borderId="6" xfId="1" applyNumberFormat="1" applyFont="1" applyFill="1" applyBorder="1" applyAlignment="1">
      <alignment horizontal="left" vertical="top" wrapText="1"/>
    </xf>
    <xf numFmtId="9" fontId="13" fillId="0" borderId="3" xfId="1" applyNumberFormat="1" applyFont="1" applyFill="1" applyBorder="1" applyAlignment="1">
      <alignment horizontal="left" vertical="top" wrapText="1"/>
    </xf>
    <xf numFmtId="9" fontId="13" fillId="0" borderId="4" xfId="1" applyFont="1" applyFill="1" applyBorder="1" applyAlignment="1">
      <alignment horizontal="left" vertical="top" wrapText="1"/>
    </xf>
    <xf numFmtId="0" fontId="17" fillId="0" borderId="0" xfId="2" applyFont="1" applyFill="1" applyBorder="1" applyAlignment="1">
      <alignment horizontal="left" vertical="top" wrapText="1"/>
    </xf>
    <xf numFmtId="9" fontId="13" fillId="0" borderId="0" xfId="1" applyNumberFormat="1" applyFont="1" applyFill="1" applyBorder="1" applyAlignment="1">
      <alignment horizontal="left" vertical="top" wrapText="1"/>
    </xf>
    <xf numFmtId="9" fontId="13" fillId="0" borderId="9" xfId="1" applyNumberFormat="1" applyFont="1" applyFill="1" applyBorder="1" applyAlignment="1">
      <alignment horizontal="left" vertical="top" wrapText="1"/>
    </xf>
    <xf numFmtId="164" fontId="17" fillId="0" borderId="1" xfId="2" applyNumberFormat="1" applyFont="1" applyFill="1" applyBorder="1" applyAlignment="1">
      <alignment horizontal="left" vertical="top" wrapText="1"/>
    </xf>
    <xf numFmtId="9" fontId="13" fillId="0" borderId="1" xfId="1" applyNumberFormat="1" applyFont="1" applyFill="1" applyBorder="1" applyAlignment="1">
      <alignment horizontal="left" vertical="top" wrapText="1"/>
    </xf>
    <xf numFmtId="9" fontId="13" fillId="0" borderId="13" xfId="1" applyNumberFormat="1" applyFont="1" applyFill="1" applyBorder="1" applyAlignment="1">
      <alignment horizontal="left" vertical="top" wrapText="1"/>
    </xf>
    <xf numFmtId="9" fontId="13" fillId="0" borderId="4" xfId="1" applyNumberFormat="1" applyFont="1" applyFill="1" applyBorder="1" applyAlignment="1">
      <alignment horizontal="left" vertical="top" wrapText="1"/>
    </xf>
    <xf numFmtId="9" fontId="13" fillId="0" borderId="7" xfId="1" applyNumberFormat="1" applyFont="1" applyFill="1" applyBorder="1" applyAlignment="1">
      <alignment horizontal="left" vertical="top" wrapText="1"/>
    </xf>
    <xf numFmtId="0" fontId="5" fillId="0" borderId="0" xfId="3" applyFont="1" applyFill="1" applyBorder="1" applyAlignment="1" applyProtection="1">
      <alignment horizontal="left" vertical="center"/>
    </xf>
    <xf numFmtId="0" fontId="4" fillId="0" borderId="2" xfId="2" applyFont="1" applyFill="1" applyBorder="1" applyAlignment="1">
      <alignment horizontal="left" vertical="top"/>
    </xf>
    <xf numFmtId="0" fontId="4" fillId="0" borderId="2" xfId="2" applyFont="1" applyFill="1" applyBorder="1" applyAlignment="1">
      <alignment horizontal="left" vertical="top" wrapText="1"/>
    </xf>
    <xf numFmtId="0" fontId="4" fillId="0" borderId="3" xfId="2" applyFont="1" applyFill="1" applyBorder="1" applyAlignment="1">
      <alignment horizontal="left" vertical="top" wrapText="1"/>
    </xf>
    <xf numFmtId="9" fontId="4" fillId="0" borderId="3" xfId="2" applyNumberFormat="1" applyFont="1" applyFill="1" applyBorder="1" applyAlignment="1">
      <alignment horizontal="left" vertical="top" wrapText="1"/>
    </xf>
    <xf numFmtId="0" fontId="4" fillId="0" borderId="12" xfId="2" applyFont="1" applyFill="1" applyBorder="1" applyAlignment="1">
      <alignment horizontal="left" vertical="top" wrapText="1"/>
    </xf>
    <xf numFmtId="0" fontId="4" fillId="0" borderId="1" xfId="2" applyFont="1" applyFill="1" applyBorder="1" applyAlignment="1">
      <alignment horizontal="left" vertical="top" wrapText="1"/>
    </xf>
    <xf numFmtId="9" fontId="4" fillId="0" borderId="1" xfId="2" applyNumberFormat="1" applyFont="1" applyFill="1" applyBorder="1" applyAlignment="1">
      <alignment horizontal="left" vertical="top" wrapText="1"/>
    </xf>
    <xf numFmtId="0" fontId="4" fillId="0" borderId="5" xfId="2" applyFont="1" applyFill="1" applyBorder="1" applyAlignment="1">
      <alignment horizontal="left" vertical="top" wrapText="1"/>
    </xf>
    <xf numFmtId="0" fontId="4" fillId="0" borderId="8" xfId="2" applyFont="1" applyFill="1" applyBorder="1" applyAlignment="1">
      <alignment horizontal="left" vertical="top" wrapText="1"/>
    </xf>
    <xf numFmtId="0" fontId="4" fillId="0" borderId="0" xfId="2" applyFont="1" applyFill="1" applyBorder="1" applyAlignment="1">
      <alignment horizontal="left" vertical="top" wrapText="1"/>
    </xf>
    <xf numFmtId="164" fontId="4" fillId="0" borderId="0" xfId="2" applyNumberFormat="1" applyFont="1" applyFill="1" applyBorder="1" applyAlignment="1">
      <alignment horizontal="left" vertical="top" wrapText="1"/>
    </xf>
    <xf numFmtId="0" fontId="4" fillId="0" borderId="12" xfId="2" applyFont="1" applyFill="1" applyBorder="1" applyAlignment="1">
      <alignment horizontal="left" vertical="top"/>
    </xf>
    <xf numFmtId="0" fontId="4" fillId="0" borderId="13" xfId="2" applyFont="1" applyFill="1" applyBorder="1" applyAlignment="1">
      <alignment horizontal="left" vertical="top" wrapText="1"/>
    </xf>
    <xf numFmtId="0" fontId="4" fillId="0" borderId="5" xfId="2" applyFont="1" applyFill="1" applyBorder="1" applyAlignment="1">
      <alignment vertical="top"/>
    </xf>
    <xf numFmtId="0" fontId="4" fillId="0" borderId="6" xfId="2" applyFont="1" applyFill="1" applyBorder="1" applyAlignment="1">
      <alignment horizontal="left" vertical="top" wrapText="1"/>
    </xf>
    <xf numFmtId="9" fontId="4" fillId="0" borderId="7" xfId="2" applyNumberFormat="1" applyFont="1" applyFill="1" applyBorder="1" applyAlignment="1">
      <alignment horizontal="left" vertical="top" wrapText="1"/>
    </xf>
    <xf numFmtId="9" fontId="4" fillId="0" borderId="0" xfId="2" quotePrefix="1" applyNumberFormat="1" applyFont="1" applyFill="1" applyBorder="1" applyAlignment="1">
      <alignment horizontal="left" vertical="top" wrapText="1"/>
    </xf>
    <xf numFmtId="0" fontId="4" fillId="0" borderId="6" xfId="2" quotePrefix="1" applyFont="1" applyFill="1" applyBorder="1" applyAlignment="1">
      <alignment horizontal="left" vertical="top" wrapText="1"/>
    </xf>
    <xf numFmtId="0" fontId="4" fillId="0" borderId="7" xfId="2" quotePrefix="1" applyFont="1" applyFill="1" applyBorder="1" applyAlignment="1">
      <alignment horizontal="left" vertical="top" wrapText="1"/>
    </xf>
    <xf numFmtId="0" fontId="0" fillId="0" borderId="0" xfId="0" applyFill="1" applyAlignment="1">
      <alignment horizontal="left" vertical="center"/>
    </xf>
    <xf numFmtId="0" fontId="18" fillId="0" borderId="0" xfId="0" applyFont="1"/>
    <xf numFmtId="0" fontId="3" fillId="0" borderId="2" xfId="5" applyFont="1" applyFill="1" applyBorder="1" applyAlignment="1">
      <alignment horizontal="left" vertical="top" wrapText="1"/>
    </xf>
    <xf numFmtId="0" fontId="3" fillId="0" borderId="8" xfId="2" applyFont="1" applyFill="1" applyBorder="1" applyAlignment="1">
      <alignment horizontal="lef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quotePrefix="1" applyFont="1" applyFill="1" applyAlignment="1">
      <alignment vertical="top"/>
    </xf>
    <xf numFmtId="0" fontId="4" fillId="0" borderId="4" xfId="0" applyFont="1" applyFill="1" applyBorder="1"/>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0" fillId="0" borderId="8" xfId="0" applyFont="1" applyFill="1" applyBorder="1"/>
    <xf numFmtId="10" fontId="4" fillId="0" borderId="8" xfId="0" applyNumberFormat="1"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10" fontId="4" fillId="0" borderId="9" xfId="0" applyNumberFormat="1" applyFont="1" applyFill="1" applyBorder="1" applyAlignment="1">
      <alignment horizontal="center" vertical="center" wrapText="1"/>
    </xf>
    <xf numFmtId="10" fontId="4" fillId="0" borderId="12"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0" borderId="13" xfId="0" applyNumberFormat="1" applyFont="1" applyFill="1" applyBorder="1" applyAlignment="1">
      <alignment horizontal="center" vertical="center" wrapText="1"/>
    </xf>
    <xf numFmtId="0" fontId="4" fillId="0" borderId="0" xfId="0" applyFont="1" applyFill="1" applyBorder="1" applyAlignment="1">
      <alignment horizontal="center"/>
    </xf>
    <xf numFmtId="0" fontId="4" fillId="0" borderId="0" xfId="0" quotePrefix="1" applyFont="1" applyFill="1" applyBorder="1" applyAlignment="1">
      <alignment horizontal="center"/>
    </xf>
    <xf numFmtId="0" fontId="5" fillId="3" borderId="0" xfId="3" applyFont="1" applyFill="1" applyBorder="1" applyAlignment="1" applyProtection="1">
      <alignment horizontal="left" vertical="center"/>
    </xf>
    <xf numFmtId="0" fontId="4" fillId="0" borderId="0" xfId="5" applyFont="1" applyFill="1" applyBorder="1" applyAlignment="1"/>
    <xf numFmtId="0" fontId="6" fillId="0" borderId="0" xfId="0" applyFont="1" applyFill="1" applyAlignment="1"/>
    <xf numFmtId="0" fontId="10" fillId="3" borderId="15" xfId="0" applyFont="1" applyFill="1" applyBorder="1"/>
    <xf numFmtId="0" fontId="4" fillId="3" borderId="11" xfId="0" applyFont="1" applyFill="1" applyBorder="1" applyAlignment="1">
      <alignment vertical="top"/>
    </xf>
    <xf numFmtId="166" fontId="4" fillId="3" borderId="10" xfId="0" applyNumberFormat="1" applyFont="1" applyFill="1" applyBorder="1"/>
    <xf numFmtId="167" fontId="4" fillId="3" borderId="11" xfId="0" applyNumberFormat="1" applyFont="1" applyFill="1" applyBorder="1"/>
    <xf numFmtId="166" fontId="4" fillId="3" borderId="11" xfId="0" applyNumberFormat="1" applyFont="1" applyFill="1" applyBorder="1"/>
    <xf numFmtId="168" fontId="4" fillId="3" borderId="11" xfId="0" applyNumberFormat="1" applyFont="1" applyFill="1" applyBorder="1"/>
    <xf numFmtId="169" fontId="8" fillId="3" borderId="11" xfId="0" applyNumberFormat="1" applyFont="1" applyFill="1" applyBorder="1"/>
    <xf numFmtId="170" fontId="4" fillId="3" borderId="11" xfId="0" applyNumberFormat="1" applyFont="1" applyFill="1" applyBorder="1"/>
    <xf numFmtId="171" fontId="4" fillId="3" borderId="11" xfId="0" applyNumberFormat="1" applyFont="1" applyFill="1" applyBorder="1"/>
    <xf numFmtId="172" fontId="8" fillId="3" borderId="11" xfId="0" applyNumberFormat="1" applyFont="1" applyFill="1" applyBorder="1"/>
    <xf numFmtId="173" fontId="4" fillId="3" borderId="11" xfId="0" applyNumberFormat="1" applyFont="1" applyFill="1" applyBorder="1"/>
    <xf numFmtId="174" fontId="4" fillId="3" borderId="11" xfId="0" applyNumberFormat="1" applyFont="1" applyFill="1" applyBorder="1"/>
    <xf numFmtId="0" fontId="4" fillId="3" borderId="11" xfId="0" applyFont="1" applyFill="1" applyBorder="1"/>
    <xf numFmtId="175" fontId="4" fillId="3" borderId="11" xfId="0" applyNumberFormat="1" applyFont="1" applyFill="1" applyBorder="1"/>
    <xf numFmtId="176" fontId="4" fillId="3" borderId="11" xfId="0" applyNumberFormat="1" applyFont="1" applyFill="1" applyBorder="1"/>
    <xf numFmtId="177" fontId="4" fillId="3" borderId="11" xfId="0" applyNumberFormat="1" applyFont="1" applyFill="1" applyBorder="1"/>
    <xf numFmtId="178" fontId="4" fillId="3" borderId="11" xfId="0" applyNumberFormat="1" applyFont="1" applyFill="1" applyBorder="1"/>
    <xf numFmtId="179" fontId="4" fillId="3" borderId="11" xfId="0" applyNumberFormat="1" applyFont="1" applyFill="1" applyBorder="1"/>
    <xf numFmtId="0" fontId="8" fillId="3" borderId="15" xfId="0" applyFont="1" applyFill="1" applyBorder="1"/>
    <xf numFmtId="180" fontId="4" fillId="3" borderId="11" xfId="0" applyNumberFormat="1" applyFont="1" applyFill="1" applyBorder="1"/>
    <xf numFmtId="181" fontId="4" fillId="3" borderId="11" xfId="0" applyNumberFormat="1" applyFont="1" applyFill="1" applyBorder="1"/>
    <xf numFmtId="0" fontId="4" fillId="3" borderId="14" xfId="0" applyFont="1" applyFill="1" applyBorder="1"/>
    <xf numFmtId="182" fontId="4" fillId="3" borderId="14" xfId="0" applyNumberFormat="1" applyFont="1" applyFill="1" applyBorder="1"/>
    <xf numFmtId="0" fontId="4" fillId="3" borderId="0" xfId="0" applyFont="1" applyFill="1" applyBorder="1"/>
    <xf numFmtId="183" fontId="4" fillId="3" borderId="11" xfId="0" applyNumberFormat="1" applyFont="1" applyFill="1" applyBorder="1"/>
    <xf numFmtId="1" fontId="4" fillId="0" borderId="3" xfId="5" applyNumberFormat="1" applyFont="1" applyFill="1" applyBorder="1" applyAlignment="1">
      <alignment horizontal="left" vertical="top" wrapText="1"/>
    </xf>
    <xf numFmtId="0" fontId="4" fillId="0" borderId="9" xfId="1" quotePrefix="1" applyNumberFormat="1" applyFont="1" applyFill="1" applyBorder="1" applyAlignment="1">
      <alignment horizontal="center" vertical="top" wrapText="1"/>
    </xf>
    <xf numFmtId="0" fontId="4" fillId="0" borderId="13" xfId="1" quotePrefix="1" applyNumberFormat="1" applyFont="1" applyFill="1" applyBorder="1" applyAlignment="1">
      <alignment horizontal="center" vertical="top" wrapText="1"/>
    </xf>
    <xf numFmtId="0" fontId="4" fillId="0" borderId="2" xfId="5" applyFont="1" applyFill="1" applyBorder="1" applyAlignment="1">
      <alignment horizontal="left" vertical="top"/>
    </xf>
    <xf numFmtId="0" fontId="4" fillId="0" borderId="1" xfId="5" applyFont="1" applyFill="1" applyBorder="1" applyAlignment="1">
      <alignment horizontal="left" vertical="top" wrapText="1"/>
    </xf>
    <xf numFmtId="0" fontId="4" fillId="0" borderId="1" xfId="5" quotePrefix="1" applyFont="1" applyFill="1" applyBorder="1" applyAlignment="1">
      <alignment horizontal="left" vertical="top" wrapText="1"/>
    </xf>
    <xf numFmtId="1" fontId="4" fillId="0" borderId="6" xfId="1" applyNumberFormat="1" applyFont="1" applyFill="1" applyBorder="1" applyAlignment="1">
      <alignment horizontal="left" vertical="top" wrapText="1"/>
    </xf>
    <xf numFmtId="1" fontId="4" fillId="0" borderId="9" xfId="1" applyNumberFormat="1" applyFont="1" applyFill="1" applyBorder="1" applyAlignment="1">
      <alignment horizontal="left" vertical="top" wrapText="1"/>
    </xf>
    <xf numFmtId="164" fontId="4" fillId="0" borderId="8" xfId="1" applyNumberFormat="1" applyFont="1" applyFill="1" applyBorder="1" applyAlignment="1">
      <alignment horizontal="center" vertical="top" wrapText="1"/>
    </xf>
    <xf numFmtId="164" fontId="4" fillId="0" borderId="12" xfId="1" applyNumberFormat="1" applyFont="1" applyFill="1" applyBorder="1" applyAlignment="1">
      <alignment horizontal="center" vertical="top" wrapText="1"/>
    </xf>
    <xf numFmtId="164" fontId="4" fillId="0" borderId="6" xfId="1" quotePrefix="1" applyNumberFormat="1" applyFont="1" applyFill="1" applyBorder="1" applyAlignment="1">
      <alignment horizontal="center" vertical="top"/>
    </xf>
    <xf numFmtId="0" fontId="4" fillId="0" borderId="3" xfId="5" applyFont="1" applyFill="1" applyBorder="1" applyAlignment="1">
      <alignment horizontal="left" vertical="top" wrapText="1"/>
    </xf>
    <xf numFmtId="1" fontId="4" fillId="0" borderId="7" xfId="1" applyNumberFormat="1" applyFont="1" applyFill="1" applyBorder="1" applyAlignment="1">
      <alignment horizontal="left" vertical="top" wrapText="1"/>
    </xf>
    <xf numFmtId="1" fontId="4" fillId="0" borderId="6" xfId="1" applyNumberFormat="1" applyFont="1" applyFill="1" applyBorder="1" applyAlignment="1">
      <alignment horizontal="left" vertical="top" wrapText="1"/>
    </xf>
    <xf numFmtId="9" fontId="4" fillId="0" borderId="3" xfId="5" applyNumberFormat="1" applyFont="1" applyFill="1" applyBorder="1" applyAlignment="1">
      <alignment horizontal="left" vertical="top" wrapText="1"/>
    </xf>
    <xf numFmtId="9" fontId="4" fillId="0" borderId="0" xfId="5" applyNumberFormat="1" applyFont="1" applyFill="1" applyBorder="1" applyAlignment="1">
      <alignment horizontal="left" vertical="top" wrapText="1"/>
    </xf>
    <xf numFmtId="1" fontId="4" fillId="0" borderId="0" xfId="5" applyNumberFormat="1" applyFont="1" applyFill="1" applyBorder="1" applyAlignment="1">
      <alignment horizontal="left" vertical="top" wrapText="1"/>
    </xf>
    <xf numFmtId="1" fontId="4" fillId="0" borderId="18" xfId="1" applyNumberFormat="1" applyFont="1" applyFill="1" applyBorder="1" applyAlignment="1">
      <alignment horizontal="left" vertical="top" wrapText="1"/>
    </xf>
    <xf numFmtId="0" fontId="4" fillId="0" borderId="18" xfId="1" applyNumberFormat="1" applyFont="1" applyFill="1" applyBorder="1" applyAlignment="1">
      <alignment horizontal="left" vertical="top" wrapText="1"/>
    </xf>
    <xf numFmtId="9" fontId="4" fillId="0" borderId="5" xfId="1" applyFont="1" applyFill="1" applyBorder="1" applyAlignment="1">
      <alignment horizontal="left" vertical="top" wrapText="1"/>
    </xf>
    <xf numFmtId="9" fontId="4" fillId="0" borderId="6" xfId="1" applyFont="1" applyFill="1" applyBorder="1" applyAlignment="1">
      <alignment horizontal="left" vertical="top" wrapText="1"/>
    </xf>
    <xf numFmtId="0" fontId="4" fillId="0" borderId="10" xfId="2" applyFont="1" applyFill="1" applyBorder="1" applyAlignment="1">
      <alignment horizontal="left" vertical="top"/>
    </xf>
    <xf numFmtId="1" fontId="4" fillId="0" borderId="18" xfId="2" applyNumberFormat="1" applyFont="1" applyFill="1" applyBorder="1" applyAlignment="1">
      <alignment horizontal="left" vertical="top" wrapText="1"/>
    </xf>
    <xf numFmtId="9" fontId="4" fillId="0" borderId="6" xfId="1" applyFont="1" applyFill="1" applyBorder="1" applyAlignment="1">
      <alignment horizontal="left" vertical="top" wrapText="1"/>
    </xf>
    <xf numFmtId="9" fontId="4" fillId="0" borderId="10" xfId="1" applyFont="1" applyFill="1" applyBorder="1" applyAlignment="1">
      <alignment horizontal="left" vertical="top" wrapText="1"/>
    </xf>
    <xf numFmtId="1" fontId="3" fillId="0" borderId="2" xfId="1" applyNumberFormat="1" applyFont="1" applyFill="1" applyBorder="1" applyAlignment="1">
      <alignment horizontal="left" vertical="top" wrapText="1"/>
    </xf>
    <xf numFmtId="0" fontId="0" fillId="0" borderId="3" xfId="0" applyBorder="1"/>
    <xf numFmtId="9" fontId="4" fillId="0" borderId="9" xfId="1" quotePrefix="1" applyFont="1" applyFill="1" applyBorder="1" applyAlignment="1">
      <alignment horizontal="left" vertical="top" wrapText="1"/>
    </xf>
    <xf numFmtId="1" fontId="4" fillId="0" borderId="19" xfId="1" applyNumberFormat="1" applyFont="1" applyFill="1" applyBorder="1" applyAlignment="1">
      <alignment horizontal="left" vertical="top" wrapText="1"/>
    </xf>
    <xf numFmtId="9" fontId="4" fillId="0" borderId="20" xfId="2" applyNumberFormat="1" applyFont="1" applyFill="1" applyBorder="1" applyAlignment="1">
      <alignment horizontal="left" vertical="top" wrapText="1"/>
    </xf>
    <xf numFmtId="1" fontId="4" fillId="0" borderId="21" xfId="1" applyNumberFormat="1" applyFont="1" applyFill="1" applyBorder="1" applyAlignment="1">
      <alignment horizontal="left" vertical="top" wrapText="1"/>
    </xf>
    <xf numFmtId="10" fontId="4" fillId="0" borderId="0" xfId="1" applyNumberFormat="1" applyFont="1" applyFill="1" applyBorder="1" applyAlignment="1">
      <alignment horizontal="left" vertical="top" wrapText="1"/>
    </xf>
    <xf numFmtId="1" fontId="4" fillId="0" borderId="21" xfId="2" applyNumberFormat="1" applyFont="1" applyFill="1" applyBorder="1" applyAlignment="1">
      <alignment horizontal="left" vertical="top" wrapText="1"/>
    </xf>
    <xf numFmtId="9" fontId="4" fillId="0" borderId="9" xfId="1" quotePrefix="1" applyFont="1" applyFill="1" applyBorder="1" applyAlignment="1">
      <alignment horizontal="center" vertical="top" wrapText="1"/>
    </xf>
    <xf numFmtId="164" fontId="4" fillId="0" borderId="6" xfId="2" quotePrefix="1" applyNumberFormat="1" applyFont="1" applyFill="1" applyBorder="1" applyAlignment="1">
      <alignment horizontal="center" vertical="top" wrapText="1"/>
    </xf>
    <xf numFmtId="184" fontId="4" fillId="0" borderId="6" xfId="1" applyNumberFormat="1" applyFont="1" applyFill="1" applyBorder="1" applyAlignment="1">
      <alignment horizontal="left" vertical="top" wrapText="1"/>
    </xf>
    <xf numFmtId="9" fontId="4" fillId="0" borderId="5" xfId="2" applyNumberFormat="1" applyFont="1" applyFill="1" applyBorder="1" applyAlignment="1">
      <alignment horizontal="left" vertical="top" wrapText="1"/>
    </xf>
    <xf numFmtId="9" fontId="4" fillId="0" borderId="7" xfId="2" applyNumberFormat="1" applyFont="1" applyFill="1" applyBorder="1" applyAlignment="1">
      <alignment horizontal="left" vertical="top" wrapText="1"/>
    </xf>
    <xf numFmtId="164" fontId="4" fillId="0" borderId="6" xfId="1" applyNumberFormat="1" applyFont="1" applyFill="1" applyBorder="1" applyAlignment="1">
      <alignment horizontal="left" vertical="top" wrapText="1"/>
    </xf>
    <xf numFmtId="0" fontId="4" fillId="0" borderId="0" xfId="0" applyFont="1" applyFill="1"/>
    <xf numFmtId="9" fontId="4" fillId="0" borderId="7" xfId="2" applyNumberFormat="1" applyFont="1" applyFill="1" applyBorder="1" applyAlignment="1">
      <alignment horizontal="left" vertical="top" wrapText="1"/>
    </xf>
    <xf numFmtId="1" fontId="4" fillId="0" borderId="6" xfId="2" applyNumberFormat="1" applyFont="1" applyFill="1" applyBorder="1" applyAlignment="1">
      <alignment vertical="top" wrapText="1"/>
    </xf>
    <xf numFmtId="1" fontId="20" fillId="0" borderId="5" xfId="1" applyNumberFormat="1" applyFont="1" applyFill="1" applyBorder="1" applyAlignment="1">
      <alignment horizontal="left" vertical="top" wrapText="1"/>
    </xf>
    <xf numFmtId="0" fontId="3" fillId="0" borderId="16" xfId="0" applyFont="1" applyFill="1" applyBorder="1" applyAlignment="1">
      <alignment horizontal="left" vertical="center" wrapText="1"/>
    </xf>
    <xf numFmtId="1" fontId="3" fillId="0" borderId="10" xfId="2" applyNumberFormat="1" applyFont="1" applyFill="1" applyBorder="1" applyAlignment="1">
      <alignment horizontal="left" vertical="top" wrapText="1"/>
    </xf>
    <xf numFmtId="1" fontId="3" fillId="0" borderId="14" xfId="2" applyNumberFormat="1" applyFont="1" applyFill="1" applyBorder="1" applyAlignment="1">
      <alignment horizontal="left" vertical="top" wrapText="1"/>
    </xf>
    <xf numFmtId="0" fontId="4" fillId="0" borderId="10" xfId="2" applyFont="1" applyFill="1" applyBorder="1" applyAlignment="1">
      <alignment horizontal="left" vertical="top" wrapText="1"/>
    </xf>
    <xf numFmtId="1" fontId="4" fillId="0" borderId="0" xfId="2" quotePrefix="1" applyNumberFormat="1" applyFont="1" applyFill="1" applyBorder="1" applyAlignment="1">
      <alignment horizontal="center" vertical="top" wrapText="1"/>
    </xf>
    <xf numFmtId="0" fontId="3" fillId="0" borderId="5" xfId="5" applyFont="1" applyFill="1" applyBorder="1" applyAlignment="1">
      <alignment horizontal="left" vertical="top" wrapText="1"/>
    </xf>
    <xf numFmtId="0" fontId="4" fillId="0" borderId="4" xfId="2" applyFont="1" applyFill="1" applyBorder="1" applyAlignment="1">
      <alignment horizontal="left" vertical="top" wrapText="1"/>
    </xf>
    <xf numFmtId="10" fontId="4" fillId="0" borderId="1" xfId="2" applyNumberFormat="1" applyFont="1" applyFill="1" applyBorder="1" applyAlignment="1">
      <alignment horizontal="left" vertical="top" wrapText="1"/>
    </xf>
    <xf numFmtId="9" fontId="4" fillId="0" borderId="0" xfId="1" quotePrefix="1" applyFont="1" applyFill="1" applyBorder="1" applyAlignment="1">
      <alignment horizontal="left" vertical="top" wrapText="1"/>
    </xf>
    <xf numFmtId="9" fontId="4" fillId="0" borderId="12" xfId="2" applyNumberFormat="1" applyFont="1" applyFill="1" applyBorder="1" applyAlignment="1">
      <alignment horizontal="left" vertical="top" wrapText="1"/>
    </xf>
    <xf numFmtId="9" fontId="4" fillId="0" borderId="5" xfId="2" applyNumberFormat="1" applyFont="1" applyFill="1" applyBorder="1" applyAlignment="1">
      <alignment horizontal="left" vertical="top" wrapText="1"/>
    </xf>
    <xf numFmtId="9" fontId="4" fillId="0" borderId="7" xfId="1" applyFont="1" applyFill="1" applyBorder="1" applyAlignment="1">
      <alignment horizontal="center" vertical="top" wrapText="1"/>
    </xf>
    <xf numFmtId="9" fontId="4" fillId="0" borderId="5" xfId="2" applyNumberFormat="1" applyFont="1" applyFill="1" applyBorder="1" applyAlignment="1">
      <alignment horizontal="center" vertical="top" wrapText="1"/>
    </xf>
    <xf numFmtId="9" fontId="4" fillId="0" borderId="7" xfId="2" applyNumberFormat="1" applyFont="1" applyFill="1" applyBorder="1" applyAlignment="1">
      <alignment horizontal="left" vertical="top" wrapText="1"/>
    </xf>
    <xf numFmtId="9" fontId="4" fillId="0" borderId="13" xfId="2" applyNumberFormat="1" applyFont="1" applyFill="1" applyBorder="1" applyAlignment="1">
      <alignment horizontal="left" vertical="top" wrapText="1"/>
    </xf>
    <xf numFmtId="9" fontId="4" fillId="0" borderId="12" xfId="1" applyFont="1" applyFill="1" applyBorder="1" applyAlignment="1">
      <alignment horizontal="center" vertical="top" wrapText="1"/>
    </xf>
    <xf numFmtId="9" fontId="4" fillId="0" borderId="2" xfId="1" applyFont="1" applyFill="1" applyBorder="1" applyAlignment="1">
      <alignment horizontal="center" vertical="top" wrapText="1"/>
    </xf>
    <xf numFmtId="9" fontId="4" fillId="0" borderId="8" xfId="1" applyFont="1" applyFill="1" applyBorder="1" applyAlignment="1">
      <alignment horizontal="center" vertical="top" wrapText="1"/>
    </xf>
    <xf numFmtId="164" fontId="4" fillId="0" borderId="5" xfId="1" quotePrefix="1" applyNumberFormat="1" applyFont="1" applyFill="1" applyBorder="1" applyAlignment="1">
      <alignment horizontal="center" vertical="top" wrapText="1"/>
    </xf>
    <xf numFmtId="10" fontId="4" fillId="0" borderId="15"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0" fontId="4" fillId="0" borderId="12" xfId="1" applyNumberFormat="1" applyFont="1" applyFill="1" applyBorder="1" applyAlignment="1">
      <alignment horizontal="center" vertical="top" wrapText="1"/>
    </xf>
    <xf numFmtId="9" fontId="13" fillId="0" borderId="1" xfId="1" applyFont="1" applyFill="1" applyBorder="1" applyAlignment="1">
      <alignment horizontal="left" vertical="top" wrapText="1"/>
    </xf>
    <xf numFmtId="9" fontId="13" fillId="0" borderId="13" xfId="1" applyFont="1" applyFill="1" applyBorder="1" applyAlignment="1">
      <alignment horizontal="left" vertical="top" wrapText="1"/>
    </xf>
    <xf numFmtId="1" fontId="4" fillId="0" borderId="4" xfId="5" quotePrefix="1" applyNumberFormat="1" applyFont="1" applyFill="1" applyBorder="1" applyAlignment="1">
      <alignment horizontal="left" vertical="top" wrapText="1"/>
    </xf>
    <xf numFmtId="9" fontId="4" fillId="0" borderId="9" xfId="1" applyNumberFormat="1" applyFont="1" applyFill="1" applyBorder="1" applyAlignment="1">
      <alignment horizontal="left" vertical="top" wrapText="1"/>
    </xf>
    <xf numFmtId="1" fontId="4" fillId="0" borderId="9" xfId="5" quotePrefix="1" applyNumberFormat="1" applyFont="1" applyFill="1" applyBorder="1" applyAlignment="1">
      <alignment horizontal="left" vertical="top" wrapText="1"/>
    </xf>
    <xf numFmtId="1" fontId="4" fillId="0" borderId="13" xfId="5" quotePrefix="1" applyNumberFormat="1"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9" fontId="4" fillId="0" borderId="5" xfId="2" applyNumberFormat="1" applyFont="1" applyFill="1" applyBorder="1" applyAlignment="1">
      <alignment horizontal="center" vertical="top" wrapText="1"/>
    </xf>
    <xf numFmtId="9" fontId="4" fillId="0" borderId="7" xfId="2" applyNumberFormat="1" applyFont="1" applyFill="1" applyBorder="1" applyAlignment="1">
      <alignment horizontal="center" vertical="top" wrapText="1"/>
    </xf>
    <xf numFmtId="0" fontId="6" fillId="0" borderId="0" xfId="0" applyFont="1" applyFill="1" applyAlignment="1">
      <alignment horizontal="center"/>
    </xf>
    <xf numFmtId="0" fontId="7" fillId="0" borderId="0" xfId="0" applyFont="1" applyFill="1" applyAlignment="1">
      <alignment horizontal="center"/>
    </xf>
    <xf numFmtId="0" fontId="8" fillId="0" borderId="0" xfId="4" applyFont="1" applyFill="1" applyAlignment="1">
      <alignment horizontal="center"/>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9" fontId="4" fillId="0" borderId="5" xfId="1" applyFont="1" applyFill="1" applyBorder="1" applyAlignment="1">
      <alignment horizontal="center" vertical="top" wrapText="1"/>
    </xf>
    <xf numFmtId="9" fontId="4" fillId="0" borderId="7" xfId="1" applyFont="1" applyFill="1" applyBorder="1" applyAlignment="1">
      <alignment horizontal="center" vertical="top" wrapText="1"/>
    </xf>
    <xf numFmtId="9" fontId="4" fillId="0" borderId="12" xfId="2" applyNumberFormat="1" applyFont="1" applyFill="1" applyBorder="1" applyAlignment="1">
      <alignment horizontal="left" vertical="top" wrapText="1"/>
    </xf>
    <xf numFmtId="9" fontId="4" fillId="0" borderId="13" xfId="2" applyNumberFormat="1" applyFont="1" applyFill="1" applyBorder="1" applyAlignment="1">
      <alignment horizontal="left" vertical="top" wrapText="1"/>
    </xf>
    <xf numFmtId="9" fontId="4" fillId="0" borderId="5" xfId="2" applyNumberFormat="1" applyFont="1" applyFill="1" applyBorder="1" applyAlignment="1">
      <alignment horizontal="left" vertical="top" wrapText="1"/>
    </xf>
    <xf numFmtId="9" fontId="4" fillId="0" borderId="7" xfId="2" applyNumberFormat="1" applyFont="1" applyFill="1" applyBorder="1" applyAlignment="1">
      <alignment horizontal="left" vertical="top" wrapText="1"/>
    </xf>
    <xf numFmtId="9" fontId="4" fillId="0" borderId="6" xfId="1" applyFont="1" applyFill="1" applyBorder="1" applyAlignment="1">
      <alignment horizontal="center" vertical="top" wrapText="1"/>
    </xf>
    <xf numFmtId="9" fontId="4" fillId="0" borderId="2" xfId="1" applyFont="1" applyFill="1" applyBorder="1" applyAlignment="1">
      <alignment horizontal="center" vertical="top" wrapText="1"/>
    </xf>
    <xf numFmtId="9" fontId="4" fillId="0" borderId="3" xfId="1" applyFont="1" applyFill="1" applyBorder="1" applyAlignment="1">
      <alignment horizontal="center" vertical="top" wrapText="1"/>
    </xf>
    <xf numFmtId="9" fontId="4" fillId="0" borderId="8" xfId="1" applyFont="1" applyFill="1" applyBorder="1" applyAlignment="1">
      <alignment horizontal="center" vertical="top" wrapText="1"/>
    </xf>
    <xf numFmtId="9" fontId="4" fillId="0" borderId="0" xfId="1" applyFont="1" applyFill="1" applyBorder="1" applyAlignment="1">
      <alignment horizontal="center" vertical="top" wrapText="1"/>
    </xf>
    <xf numFmtId="9" fontId="13" fillId="0" borderId="5" xfId="1" applyFont="1" applyFill="1" applyBorder="1" applyAlignment="1">
      <alignment horizontal="center" vertical="top" wrapText="1"/>
    </xf>
    <xf numFmtId="9" fontId="13" fillId="0" borderId="6" xfId="1" applyFont="1" applyFill="1" applyBorder="1" applyAlignment="1">
      <alignment horizontal="center" vertical="top" wrapText="1"/>
    </xf>
    <xf numFmtId="9" fontId="4" fillId="0" borderId="12" xfId="1" applyFont="1" applyFill="1" applyBorder="1" applyAlignment="1">
      <alignment horizontal="center" vertical="top" wrapText="1"/>
    </xf>
    <xf numFmtId="9" fontId="4" fillId="0" borderId="1" xfId="1" applyFont="1" applyFill="1" applyBorder="1" applyAlignment="1">
      <alignment horizontal="center" vertical="top" wrapText="1"/>
    </xf>
    <xf numFmtId="0" fontId="6" fillId="0" borderId="0" xfId="0" applyFont="1" applyFill="1" applyAlignment="1">
      <alignment horizontal="center" vertical="center"/>
    </xf>
    <xf numFmtId="0" fontId="7" fillId="0" borderId="0" xfId="0" applyFont="1" applyFill="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9" fillId="0" borderId="0" xfId="0" applyFont="1" applyAlignment="1">
      <alignment horizontal="center"/>
    </xf>
    <xf numFmtId="164" fontId="4" fillId="0" borderId="2" xfId="1" quotePrefix="1" applyNumberFormat="1" applyFont="1" applyFill="1" applyBorder="1" applyAlignment="1">
      <alignment horizontal="center" vertical="center"/>
    </xf>
    <xf numFmtId="164" fontId="4" fillId="0" borderId="12" xfId="1" quotePrefix="1" applyNumberFormat="1" applyFont="1" applyFill="1" applyBorder="1" applyAlignment="1">
      <alignment horizontal="center" vertical="center"/>
    </xf>
    <xf numFmtId="164" fontId="4" fillId="0" borderId="3" xfId="1" quotePrefix="1" applyNumberFormat="1" applyFont="1" applyFill="1" applyBorder="1" applyAlignment="1">
      <alignment horizontal="center" vertical="center"/>
    </xf>
    <xf numFmtId="164" fontId="4" fillId="0" borderId="1" xfId="1" quotePrefix="1" applyNumberFormat="1" applyFont="1" applyFill="1" applyBorder="1" applyAlignment="1">
      <alignment horizontal="center" vertical="center"/>
    </xf>
    <xf numFmtId="0" fontId="4" fillId="0" borderId="0" xfId="0" applyFont="1" applyFill="1" applyAlignment="1">
      <alignment horizontal="left" vertical="top" wrapText="1"/>
    </xf>
    <xf numFmtId="0" fontId="4" fillId="0" borderId="12" xfId="5" applyFont="1" applyFill="1" applyBorder="1" applyAlignment="1">
      <alignment horizontal="center" vertical="center"/>
    </xf>
    <xf numFmtId="0" fontId="4" fillId="0" borderId="1" xfId="5" applyFont="1" applyFill="1" applyBorder="1" applyAlignment="1">
      <alignment horizontal="center" vertical="center"/>
    </xf>
    <xf numFmtId="0" fontId="4" fillId="0" borderId="13" xfId="5" applyFont="1" applyFill="1" applyBorder="1" applyAlignment="1">
      <alignment horizontal="center" vertical="center"/>
    </xf>
    <xf numFmtId="0" fontId="6" fillId="0" borderId="0" xfId="5" applyFont="1" applyFill="1" applyAlignment="1">
      <alignment horizontal="center"/>
    </xf>
    <xf numFmtId="0" fontId="6" fillId="0" borderId="0" xfId="5" applyFont="1" applyFill="1" applyAlignment="1">
      <alignment horizontal="center" vertical="center"/>
    </xf>
    <xf numFmtId="0" fontId="4" fillId="0" borderId="2" xfId="5" applyFont="1" applyFill="1" applyBorder="1" applyAlignment="1">
      <alignment horizontal="center" vertical="center"/>
    </xf>
    <xf numFmtId="0" fontId="4" fillId="0" borderId="3" xfId="5" applyFont="1" applyFill="1" applyBorder="1" applyAlignment="1">
      <alignment horizontal="center" vertical="center"/>
    </xf>
    <xf numFmtId="0" fontId="4" fillId="0" borderId="4" xfId="5" applyFont="1" applyFill="1" applyBorder="1" applyAlignment="1">
      <alignment horizontal="center" vertical="center"/>
    </xf>
    <xf numFmtId="0" fontId="4" fillId="0" borderId="10" xfId="5" applyFont="1" applyFill="1" applyBorder="1" applyAlignment="1">
      <alignment horizontal="center" vertical="center" wrapText="1"/>
    </xf>
    <xf numFmtId="0" fontId="4" fillId="0" borderId="11" xfId="5" applyFont="1" applyFill="1" applyBorder="1" applyAlignment="1">
      <alignment horizontal="center" vertical="center" wrapText="1"/>
    </xf>
    <xf numFmtId="0" fontId="4" fillId="0" borderId="6" xfId="5" applyFont="1" applyFill="1" applyBorder="1" applyAlignment="1">
      <alignment horizontal="center" vertical="center"/>
    </xf>
    <xf numFmtId="0" fontId="4" fillId="0" borderId="7" xfId="5" applyFont="1" applyFill="1" applyBorder="1" applyAlignment="1">
      <alignment horizontal="center" vertical="center"/>
    </xf>
    <xf numFmtId="0" fontId="4" fillId="0" borderId="2" xfId="5" applyFont="1" applyFill="1" applyBorder="1" applyAlignment="1">
      <alignment horizontal="center" vertical="center" wrapText="1"/>
    </xf>
    <xf numFmtId="0" fontId="4" fillId="0" borderId="8" xfId="5" applyFont="1" applyFill="1" applyBorder="1" applyAlignment="1">
      <alignment horizontal="center" vertical="center" wrapText="1"/>
    </xf>
    <xf numFmtId="0" fontId="4" fillId="0" borderId="0" xfId="0" applyFont="1" applyFill="1" applyAlignment="1">
      <alignment horizontal="left" vertical="center" wrapText="1"/>
    </xf>
    <xf numFmtId="0" fontId="0" fillId="0" borderId="0" xfId="0" applyFill="1" applyAlignment="1">
      <alignment horizontal="left" vertical="center" wrapText="1"/>
    </xf>
    <xf numFmtId="0" fontId="6" fillId="0" borderId="0" xfId="0" applyFont="1" applyFill="1" applyBorder="1" applyAlignment="1">
      <alignment horizontal="center"/>
    </xf>
    <xf numFmtId="0" fontId="7" fillId="0" borderId="0" xfId="0" applyFont="1" applyFill="1" applyBorder="1" applyAlignment="1">
      <alignment horizontal="center"/>
    </xf>
    <xf numFmtId="0" fontId="13" fillId="0" borderId="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4" fillId="0" borderId="3" xfId="5"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Border="1" applyAlignment="1">
      <alignment horizontal="left" vertical="top" wrapText="1"/>
    </xf>
    <xf numFmtId="0" fontId="4" fillId="0" borderId="0" xfId="0" applyFont="1" applyFill="1"/>
    <xf numFmtId="0" fontId="4" fillId="0" borderId="0" xfId="0" applyFont="1" applyFill="1" applyBorder="1" applyAlignment="1">
      <alignment vertical="top" wrapText="1"/>
    </xf>
    <xf numFmtId="0" fontId="6" fillId="3" borderId="0" xfId="0" applyFont="1" applyFill="1" applyBorder="1" applyAlignment="1">
      <alignment horizontal="center"/>
    </xf>
    <xf numFmtId="0" fontId="6" fillId="3" borderId="9" xfId="0" applyFont="1" applyFill="1" applyBorder="1" applyAlignment="1">
      <alignment horizontal="center"/>
    </xf>
    <xf numFmtId="0" fontId="6" fillId="3" borderId="1" xfId="0" applyFont="1" applyFill="1" applyBorder="1" applyAlignment="1">
      <alignment horizontal="center"/>
    </xf>
    <xf numFmtId="0" fontId="6" fillId="3" borderId="13" xfId="0" applyFont="1" applyFill="1" applyBorder="1" applyAlignment="1">
      <alignment horizontal="center"/>
    </xf>
  </cellXfs>
  <cellStyles count="6">
    <cellStyle name="Good" xfId="2" builtinId="26"/>
    <cellStyle name="Hyperlink" xfId="3" builtinId="8"/>
    <cellStyle name="Normal" xfId="0" builtinId="0"/>
    <cellStyle name="Normal 2" xfId="4"/>
    <cellStyle name="Normal 4"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oecd.org/els/soc/benefits-and-wages.ht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ecd.org/els/soc/benefits-and-wages.ht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ecd.org/els/soc/benefits-and-wages.ht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ecd.org/els/soc/benefits-and-wages.ht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oecd.org/els/soc/benefits-and-wages.ht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oecd.org/els/soc/benefits-and-wages.ht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oecd.org/els/soc/benefits-and-wages.ht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oecd.org/els/soc/benefits-and-wages.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1"/>
  <sheetViews>
    <sheetView workbookViewId="0"/>
  </sheetViews>
  <sheetFormatPr defaultRowHeight="12.75" x14ac:dyDescent="0.2"/>
  <cols>
    <col min="1" max="1" width="6.85546875" customWidth="1"/>
    <col min="2" max="2" width="10.5703125" customWidth="1"/>
  </cols>
  <sheetData>
    <row r="1" spans="1:26" x14ac:dyDescent="0.2">
      <c r="A1" s="1" t="s">
        <v>0</v>
      </c>
    </row>
    <row r="2" spans="1:26" x14ac:dyDescent="0.2">
      <c r="A2" s="2"/>
    </row>
    <row r="3" spans="1:26" x14ac:dyDescent="0.2">
      <c r="A3" s="513" t="s">
        <v>1</v>
      </c>
      <c r="B3" s="513"/>
      <c r="C3" s="513"/>
      <c r="D3" s="513"/>
      <c r="E3" s="513"/>
      <c r="F3" s="513"/>
      <c r="G3" s="513"/>
      <c r="H3" s="513"/>
      <c r="I3" s="513"/>
      <c r="J3" s="513"/>
      <c r="K3" s="513"/>
      <c r="L3" s="513"/>
      <c r="M3" s="513"/>
      <c r="N3" s="513"/>
      <c r="O3" s="513"/>
      <c r="P3" s="513"/>
      <c r="Q3" s="513"/>
      <c r="R3" s="513"/>
      <c r="S3" s="513"/>
      <c r="T3" s="513"/>
      <c r="U3" s="513"/>
      <c r="V3" s="513"/>
      <c r="W3" s="513"/>
      <c r="X3" s="513"/>
      <c r="Y3" s="513"/>
      <c r="Z3" s="513"/>
    </row>
    <row r="4" spans="1:26" x14ac:dyDescent="0.2">
      <c r="A4" s="513" t="s">
        <v>2</v>
      </c>
      <c r="B4" s="513"/>
      <c r="C4" s="513"/>
      <c r="D4" s="513"/>
      <c r="E4" s="513"/>
      <c r="F4" s="513"/>
      <c r="G4" s="513"/>
      <c r="H4" s="513"/>
      <c r="I4" s="513"/>
      <c r="J4" s="513"/>
      <c r="K4" s="513"/>
      <c r="L4" s="513"/>
      <c r="M4" s="513"/>
      <c r="N4" s="513"/>
      <c r="O4" s="513"/>
      <c r="P4" s="513"/>
      <c r="Q4" s="513"/>
      <c r="R4" s="513"/>
      <c r="S4" s="513"/>
      <c r="T4" s="513"/>
      <c r="U4" s="513"/>
      <c r="V4" s="513"/>
      <c r="W4" s="513"/>
      <c r="X4" s="513"/>
      <c r="Y4" s="513"/>
      <c r="Z4" s="513"/>
    </row>
    <row r="5" spans="1:26" x14ac:dyDescent="0.2">
      <c r="A5" s="513" t="s">
        <v>3</v>
      </c>
      <c r="B5" s="513"/>
      <c r="C5" s="513"/>
      <c r="D5" s="513"/>
      <c r="E5" s="513"/>
      <c r="F5" s="513"/>
      <c r="G5" s="513"/>
      <c r="H5" s="513"/>
      <c r="I5" s="513"/>
      <c r="J5" s="513"/>
      <c r="K5" s="513"/>
      <c r="L5" s="513"/>
      <c r="M5" s="513"/>
      <c r="N5" s="513"/>
      <c r="O5" s="513"/>
      <c r="P5" s="513"/>
      <c r="Q5" s="513"/>
      <c r="R5" s="513"/>
      <c r="S5" s="513"/>
      <c r="T5" s="513"/>
      <c r="U5" s="513"/>
      <c r="V5" s="513"/>
      <c r="W5" s="513"/>
      <c r="X5" s="513"/>
      <c r="Y5" s="513"/>
      <c r="Z5" s="513"/>
    </row>
    <row r="6" spans="1:26" x14ac:dyDescent="0.2">
      <c r="A6" s="512" t="s">
        <v>4</v>
      </c>
      <c r="B6" s="512"/>
      <c r="C6" s="512"/>
      <c r="D6" s="512"/>
      <c r="E6" s="512"/>
      <c r="F6" s="512"/>
      <c r="G6" s="512"/>
      <c r="H6" s="512"/>
      <c r="I6" s="512"/>
      <c r="J6" s="512"/>
      <c r="K6" s="512"/>
      <c r="L6" s="512"/>
      <c r="M6" s="512"/>
      <c r="N6" s="512"/>
      <c r="O6" s="512"/>
      <c r="P6" s="512"/>
      <c r="Q6" s="512"/>
      <c r="R6" s="512"/>
      <c r="S6" s="512"/>
      <c r="T6" s="512"/>
      <c r="U6" s="512"/>
      <c r="V6" s="512"/>
      <c r="W6" s="512"/>
      <c r="X6" s="512"/>
      <c r="Y6" s="512"/>
      <c r="Z6" s="512"/>
    </row>
    <row r="7" spans="1:26" x14ac:dyDescent="0.2">
      <c r="A7" s="513" t="s">
        <v>5</v>
      </c>
      <c r="B7" s="513"/>
      <c r="C7" s="513"/>
      <c r="D7" s="513"/>
      <c r="E7" s="513"/>
      <c r="F7" s="513"/>
      <c r="G7" s="513"/>
      <c r="H7" s="513"/>
      <c r="I7" s="513"/>
      <c r="J7" s="513"/>
      <c r="K7" s="513"/>
      <c r="L7" s="513"/>
      <c r="M7" s="513"/>
      <c r="N7" s="513"/>
      <c r="O7" s="513"/>
      <c r="P7" s="513"/>
      <c r="Q7" s="513"/>
      <c r="R7" s="513"/>
      <c r="S7" s="513"/>
      <c r="T7" s="513"/>
      <c r="U7" s="513"/>
      <c r="V7" s="513"/>
      <c r="W7" s="513"/>
      <c r="X7" s="513"/>
      <c r="Y7" s="513"/>
      <c r="Z7" s="513"/>
    </row>
    <row r="8" spans="1:26" x14ac:dyDescent="0.2">
      <c r="B8" s="3" t="s">
        <v>6</v>
      </c>
      <c r="C8" s="512" t="s">
        <v>979</v>
      </c>
      <c r="D8" s="512"/>
      <c r="E8" s="512"/>
      <c r="F8" s="512"/>
      <c r="G8" s="512"/>
      <c r="H8" s="512"/>
      <c r="I8" s="512"/>
      <c r="J8" s="512"/>
      <c r="K8" s="512"/>
      <c r="L8" s="512"/>
      <c r="M8" s="512"/>
      <c r="N8" s="512"/>
      <c r="O8" s="512"/>
      <c r="P8" s="512"/>
      <c r="Q8" s="512"/>
      <c r="R8" s="512"/>
      <c r="S8" s="512"/>
      <c r="T8" s="512"/>
      <c r="U8" s="512"/>
      <c r="V8" s="512"/>
      <c r="W8" s="512"/>
      <c r="X8" s="512"/>
      <c r="Y8" s="512"/>
      <c r="Z8" s="512"/>
    </row>
    <row r="9" spans="1:26" x14ac:dyDescent="0.2">
      <c r="B9" s="3" t="s">
        <v>7</v>
      </c>
      <c r="C9" s="512" t="s">
        <v>8</v>
      </c>
      <c r="D9" s="512"/>
      <c r="E9" s="512"/>
      <c r="F9" s="512"/>
      <c r="G9" s="512"/>
      <c r="H9" s="512"/>
      <c r="I9" s="512"/>
      <c r="J9" s="512"/>
      <c r="K9" s="512"/>
      <c r="L9" s="512"/>
      <c r="M9" s="512"/>
      <c r="N9" s="512"/>
      <c r="O9" s="512"/>
      <c r="P9" s="512"/>
      <c r="Q9" s="512"/>
      <c r="R9" s="512"/>
      <c r="S9" s="512"/>
      <c r="T9" s="512"/>
      <c r="U9" s="512"/>
      <c r="V9" s="512"/>
      <c r="W9" s="512"/>
      <c r="X9" s="512"/>
      <c r="Y9" s="512"/>
      <c r="Z9" s="512"/>
    </row>
    <row r="11" spans="1:26" x14ac:dyDescent="0.2">
      <c r="A11" s="4" t="s">
        <v>9</v>
      </c>
      <c r="B11" s="5" t="s">
        <v>10</v>
      </c>
    </row>
  </sheetData>
  <mergeCells count="7">
    <mergeCell ref="C9:Z9"/>
    <mergeCell ref="A3:Z3"/>
    <mergeCell ref="A4:Z4"/>
    <mergeCell ref="A5:Z5"/>
    <mergeCell ref="A6:Z6"/>
    <mergeCell ref="A7:Z7"/>
    <mergeCell ref="C8:Z8"/>
  </mergeCells>
  <hyperlinks>
    <hyperlink ref="B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41"/>
  <sheetViews>
    <sheetView workbookViewId="0">
      <selection activeCell="B9" sqref="B9"/>
    </sheetView>
  </sheetViews>
  <sheetFormatPr defaultRowHeight="12.75" x14ac:dyDescent="0.2"/>
  <sheetData>
    <row r="1" spans="1:2" x14ac:dyDescent="0.2">
      <c r="A1" t="s">
        <v>880</v>
      </c>
      <c r="B1" t="s">
        <v>881</v>
      </c>
    </row>
    <row r="2" spans="1:2" x14ac:dyDescent="0.2">
      <c r="A2" t="s">
        <v>437</v>
      </c>
      <c r="B2">
        <v>79409</v>
      </c>
    </row>
    <row r="3" spans="1:2" x14ac:dyDescent="0.2">
      <c r="A3" t="s">
        <v>61</v>
      </c>
      <c r="B3">
        <v>42813.65</v>
      </c>
    </row>
    <row r="4" spans="1:2" x14ac:dyDescent="0.2">
      <c r="A4" t="s">
        <v>328</v>
      </c>
      <c r="B4">
        <v>46451</v>
      </c>
    </row>
    <row r="5" spans="1:2" x14ac:dyDescent="0.2">
      <c r="A5" t="s">
        <v>93</v>
      </c>
      <c r="B5">
        <v>10064</v>
      </c>
    </row>
    <row r="6" spans="1:2" x14ac:dyDescent="0.2">
      <c r="A6" t="s">
        <v>439</v>
      </c>
      <c r="B6">
        <v>49832.038769244304</v>
      </c>
    </row>
    <row r="7" spans="1:2" x14ac:dyDescent="0.2">
      <c r="A7" t="s">
        <v>88</v>
      </c>
      <c r="B7">
        <v>86820</v>
      </c>
    </row>
    <row r="8" spans="1:2" x14ac:dyDescent="0.2">
      <c r="A8" t="s">
        <v>64</v>
      </c>
      <c r="B8">
        <v>7877707</v>
      </c>
    </row>
    <row r="9" spans="1:2" x14ac:dyDescent="0.2">
      <c r="A9" t="s">
        <v>882</v>
      </c>
      <c r="B9">
        <v>22704</v>
      </c>
    </row>
    <row r="10" spans="1:2" x14ac:dyDescent="0.2">
      <c r="A10" t="s">
        <v>65</v>
      </c>
      <c r="B10">
        <v>310620</v>
      </c>
    </row>
    <row r="11" spans="1:2" x14ac:dyDescent="0.2">
      <c r="A11" t="s">
        <v>70</v>
      </c>
      <c r="B11">
        <v>45970</v>
      </c>
    </row>
    <row r="12" spans="1:2" x14ac:dyDescent="0.2">
      <c r="A12" t="s">
        <v>66</v>
      </c>
      <c r="B12">
        <v>397600</v>
      </c>
    </row>
    <row r="13" spans="1:2" x14ac:dyDescent="0.2">
      <c r="A13" t="s">
        <v>86</v>
      </c>
      <c r="B13">
        <v>26190.78</v>
      </c>
    </row>
    <row r="14" spans="1:2" x14ac:dyDescent="0.2">
      <c r="A14" t="s">
        <v>67</v>
      </c>
      <c r="B14">
        <v>12337.98</v>
      </c>
    </row>
    <row r="15" spans="1:2" x14ac:dyDescent="0.2">
      <c r="A15" t="s">
        <v>68</v>
      </c>
      <c r="B15">
        <v>42704</v>
      </c>
    </row>
    <row r="16" spans="1:2" x14ac:dyDescent="0.2">
      <c r="A16" t="s">
        <v>69</v>
      </c>
      <c r="B16">
        <v>37235</v>
      </c>
    </row>
    <row r="17" spans="1:2" x14ac:dyDescent="0.2">
      <c r="A17" t="s">
        <v>90</v>
      </c>
      <c r="B17">
        <v>35120</v>
      </c>
    </row>
    <row r="18" spans="1:2" x14ac:dyDescent="0.2">
      <c r="A18" t="s">
        <v>71</v>
      </c>
      <c r="B18">
        <v>21321.5</v>
      </c>
    </row>
    <row r="19" spans="1:2" x14ac:dyDescent="0.2">
      <c r="A19" t="s">
        <v>94</v>
      </c>
      <c r="B19">
        <v>85488</v>
      </c>
    </row>
    <row r="20" spans="1:2" x14ac:dyDescent="0.2">
      <c r="A20" t="s">
        <v>72</v>
      </c>
      <c r="B20">
        <v>3053364</v>
      </c>
    </row>
    <row r="21" spans="1:2" x14ac:dyDescent="0.2">
      <c r="A21" t="s">
        <v>74</v>
      </c>
      <c r="B21">
        <v>43362.888888888891</v>
      </c>
    </row>
    <row r="22" spans="1:2" x14ac:dyDescent="0.2">
      <c r="A22" t="s">
        <v>73</v>
      </c>
      <c r="B22">
        <v>7176000</v>
      </c>
    </row>
    <row r="23" spans="1:2" x14ac:dyDescent="0.2">
      <c r="A23" t="s">
        <v>75</v>
      </c>
      <c r="B23">
        <v>134748</v>
      </c>
    </row>
    <row r="24" spans="1:2" x14ac:dyDescent="0.2">
      <c r="A24" t="s">
        <v>76</v>
      </c>
      <c r="B24">
        <v>30347</v>
      </c>
    </row>
    <row r="25" spans="1:2" x14ac:dyDescent="0.2">
      <c r="A25" t="s">
        <v>77</v>
      </c>
      <c r="B25">
        <v>4972455</v>
      </c>
    </row>
    <row r="26" spans="1:2" x14ac:dyDescent="0.2">
      <c r="A26" t="s">
        <v>78</v>
      </c>
      <c r="B26">
        <v>41428224</v>
      </c>
    </row>
    <row r="27" spans="1:2" x14ac:dyDescent="0.2">
      <c r="A27" t="s">
        <v>96</v>
      </c>
      <c r="B27">
        <v>28023.599999999999</v>
      </c>
    </row>
    <row r="28" spans="1:2" x14ac:dyDescent="0.2">
      <c r="A28" t="s">
        <v>79</v>
      </c>
      <c r="B28">
        <v>54920</v>
      </c>
    </row>
    <row r="29" spans="1:2" x14ac:dyDescent="0.2">
      <c r="A29" t="s">
        <v>95</v>
      </c>
      <c r="B29">
        <v>8892</v>
      </c>
    </row>
    <row r="30" spans="1:2" x14ac:dyDescent="0.2">
      <c r="A30" t="s">
        <v>277</v>
      </c>
      <c r="B30">
        <v>20500</v>
      </c>
    </row>
    <row r="31" spans="1:2" x14ac:dyDescent="0.2">
      <c r="A31" t="s">
        <v>80</v>
      </c>
      <c r="B31">
        <v>48360</v>
      </c>
    </row>
    <row r="32" spans="1:2" x14ac:dyDescent="0.2">
      <c r="A32" t="s">
        <v>81</v>
      </c>
      <c r="B32">
        <v>537881</v>
      </c>
    </row>
    <row r="33" spans="1:2" x14ac:dyDescent="0.2">
      <c r="A33" t="s">
        <v>262</v>
      </c>
      <c r="B33">
        <v>54733</v>
      </c>
    </row>
    <row r="34" spans="1:2" x14ac:dyDescent="0.2">
      <c r="A34" t="s">
        <v>334</v>
      </c>
      <c r="B34">
        <v>44513</v>
      </c>
    </row>
    <row r="35" spans="1:2" x14ac:dyDescent="0.2">
      <c r="A35" t="s">
        <v>83</v>
      </c>
      <c r="B35">
        <v>17342.52</v>
      </c>
    </row>
    <row r="36" spans="1:2" x14ac:dyDescent="0.2">
      <c r="A36" t="s">
        <v>97</v>
      </c>
      <c r="B36">
        <v>27648</v>
      </c>
    </row>
    <row r="37" spans="1:2" x14ac:dyDescent="0.2">
      <c r="A37" t="s">
        <v>84</v>
      </c>
      <c r="B37">
        <v>10422.36</v>
      </c>
    </row>
    <row r="38" spans="1:2" x14ac:dyDescent="0.2">
      <c r="A38" t="s">
        <v>85</v>
      </c>
      <c r="B38">
        <v>17948</v>
      </c>
    </row>
    <row r="39" spans="1:2" x14ac:dyDescent="0.2">
      <c r="A39" t="s">
        <v>87</v>
      </c>
      <c r="B39">
        <v>408188</v>
      </c>
    </row>
    <row r="40" spans="1:2" x14ac:dyDescent="0.2">
      <c r="A40" t="s">
        <v>89</v>
      </c>
      <c r="B40">
        <v>27487</v>
      </c>
    </row>
    <row r="41" spans="1:2" x14ac:dyDescent="0.2">
      <c r="A41" t="s">
        <v>448</v>
      </c>
      <c r="B41">
        <v>50098.95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62"/>
  <sheetViews>
    <sheetView tabSelected="1" zoomScale="90" zoomScaleNormal="90" workbookViewId="0">
      <pane xSplit="1" ySplit="11" topLeftCell="B18" activePane="bottomRight" state="frozen"/>
      <selection pane="topRight" activeCell="B1" sqref="B1"/>
      <selection pane="bottomLeft" activeCell="A12" sqref="A12"/>
      <selection pane="bottomRight" activeCell="K20" sqref="K20"/>
    </sheetView>
  </sheetViews>
  <sheetFormatPr defaultRowHeight="12.75" x14ac:dyDescent="0.2"/>
  <cols>
    <col min="1" max="1" width="14.85546875" customWidth="1"/>
    <col min="2" max="2" width="17.7109375" customWidth="1"/>
    <col min="3" max="3" width="19.85546875" customWidth="1"/>
    <col min="4" max="4" width="26.85546875" customWidth="1"/>
    <col min="5" max="5" width="11" customWidth="1"/>
    <col min="6" max="6" width="16.85546875" customWidth="1"/>
    <col min="7" max="9" width="22.85546875" customWidth="1"/>
    <col min="10" max="10" width="14.28515625" customWidth="1"/>
    <col min="11" max="11" width="14.42578125" customWidth="1"/>
    <col min="12" max="12" width="42.140625" customWidth="1"/>
    <col min="13" max="15" width="19.85546875" customWidth="1"/>
  </cols>
  <sheetData>
    <row r="1" spans="1:15" ht="18" x14ac:dyDescent="0.25">
      <c r="A1" s="516" t="s">
        <v>11</v>
      </c>
      <c r="B1" s="517"/>
      <c r="C1" s="517"/>
      <c r="D1" s="517"/>
      <c r="E1" s="517"/>
      <c r="F1" s="517"/>
      <c r="G1" s="517"/>
      <c r="H1" s="517"/>
      <c r="I1" s="517"/>
      <c r="J1" s="517"/>
      <c r="K1" s="517"/>
      <c r="L1" s="517"/>
      <c r="M1" s="517"/>
      <c r="N1" s="517"/>
      <c r="O1" s="517"/>
    </row>
    <row r="2" spans="1:15" ht="18" x14ac:dyDescent="0.25">
      <c r="A2" s="516">
        <v>2014</v>
      </c>
      <c r="B2" s="516"/>
      <c r="C2" s="516"/>
      <c r="D2" s="516"/>
      <c r="E2" s="516"/>
      <c r="F2" s="516"/>
      <c r="G2" s="516"/>
      <c r="H2" s="516"/>
      <c r="I2" s="516"/>
      <c r="J2" s="516"/>
      <c r="K2" s="516"/>
      <c r="L2" s="516"/>
      <c r="M2" s="516"/>
      <c r="N2" s="516"/>
      <c r="O2" s="516"/>
    </row>
    <row r="3" spans="1:15" x14ac:dyDescent="0.2">
      <c r="A3" s="518" t="s">
        <v>895</v>
      </c>
      <c r="B3" s="518"/>
      <c r="C3" s="518"/>
      <c r="D3" s="518"/>
      <c r="E3" s="518"/>
      <c r="F3" s="518"/>
      <c r="G3" s="518"/>
      <c r="H3" s="518"/>
      <c r="I3" s="518"/>
      <c r="J3" s="518"/>
      <c r="K3" s="518"/>
      <c r="L3" s="518"/>
      <c r="M3" s="518"/>
      <c r="N3" s="518"/>
      <c r="O3" s="518"/>
    </row>
    <row r="4" spans="1:15" ht="13.5" customHeight="1" x14ac:dyDescent="0.2"/>
    <row r="5" spans="1:15" ht="1.5" hidden="1" customHeight="1" x14ac:dyDescent="0.2">
      <c r="A5" s="6" t="s">
        <v>9</v>
      </c>
      <c r="B5" s="6" t="s">
        <v>12</v>
      </c>
      <c r="C5" s="6" t="s">
        <v>12</v>
      </c>
      <c r="D5" s="6" t="s">
        <v>12</v>
      </c>
      <c r="E5" s="6" t="s">
        <v>12</v>
      </c>
      <c r="F5" s="6" t="s">
        <v>12</v>
      </c>
      <c r="G5" s="6" t="s">
        <v>12</v>
      </c>
      <c r="H5" s="6" t="s">
        <v>12</v>
      </c>
      <c r="I5" s="6" t="s">
        <v>12</v>
      </c>
      <c r="J5" s="6" t="s">
        <v>13</v>
      </c>
      <c r="K5" s="6" t="s">
        <v>13</v>
      </c>
      <c r="L5" s="6" t="s">
        <v>12</v>
      </c>
      <c r="M5" s="6" t="s">
        <v>12</v>
      </c>
      <c r="N5" s="6" t="s">
        <v>12</v>
      </c>
      <c r="O5" s="6" t="s">
        <v>12</v>
      </c>
    </row>
    <row r="6" spans="1:15" hidden="1" x14ac:dyDescent="0.2">
      <c r="A6" s="7" t="s">
        <v>14</v>
      </c>
      <c r="B6" s="8" t="s">
        <v>15</v>
      </c>
      <c r="C6" s="9" t="s">
        <v>16</v>
      </c>
      <c r="D6" s="9" t="s">
        <v>17</v>
      </c>
      <c r="E6" s="9" t="s">
        <v>18</v>
      </c>
      <c r="F6" s="9" t="s">
        <v>19</v>
      </c>
      <c r="G6" s="10" t="s">
        <v>20</v>
      </c>
      <c r="H6" s="11" t="s">
        <v>21</v>
      </c>
      <c r="I6" s="11" t="s">
        <v>22</v>
      </c>
      <c r="J6" s="11" t="s">
        <v>23</v>
      </c>
      <c r="K6" s="11" t="s">
        <v>24</v>
      </c>
      <c r="L6" s="11" t="s">
        <v>25</v>
      </c>
      <c r="M6" s="11" t="s">
        <v>26</v>
      </c>
      <c r="N6" s="11" t="s">
        <v>27</v>
      </c>
      <c r="O6" s="11" t="s">
        <v>28</v>
      </c>
    </row>
    <row r="7" spans="1:15" x14ac:dyDescent="0.2">
      <c r="A7" s="12"/>
      <c r="B7" s="519" t="s">
        <v>29</v>
      </c>
      <c r="C7" s="521" t="s">
        <v>30</v>
      </c>
      <c r="D7" s="521" t="s">
        <v>31</v>
      </c>
      <c r="E7" s="521" t="s">
        <v>32</v>
      </c>
      <c r="F7" s="523" t="s">
        <v>33</v>
      </c>
      <c r="G7" s="525" t="s">
        <v>34</v>
      </c>
      <c r="H7" s="526"/>
      <c r="I7" s="526"/>
      <c r="J7" s="526"/>
      <c r="K7" s="526"/>
      <c r="L7" s="527"/>
      <c r="M7" s="519" t="s">
        <v>35</v>
      </c>
      <c r="N7" s="521"/>
      <c r="O7" s="523"/>
    </row>
    <row r="8" spans="1:15" ht="14.25" x14ac:dyDescent="0.2">
      <c r="A8" s="12"/>
      <c r="B8" s="520"/>
      <c r="C8" s="522"/>
      <c r="D8" s="522"/>
      <c r="E8" s="522"/>
      <c r="F8" s="524"/>
      <c r="G8" s="519" t="s">
        <v>36</v>
      </c>
      <c r="H8" s="523" t="s">
        <v>37</v>
      </c>
      <c r="I8" s="523" t="s">
        <v>38</v>
      </c>
      <c r="J8" s="13" t="s">
        <v>39</v>
      </c>
      <c r="K8" s="14" t="s">
        <v>40</v>
      </c>
      <c r="L8" s="528" t="s">
        <v>41</v>
      </c>
      <c r="M8" s="520"/>
      <c r="N8" s="522"/>
      <c r="O8" s="524"/>
    </row>
    <row r="9" spans="1:15" ht="25.5" x14ac:dyDescent="0.2">
      <c r="A9" s="12"/>
      <c r="B9" s="520"/>
      <c r="C9" s="522"/>
      <c r="D9" s="522"/>
      <c r="E9" s="522"/>
      <c r="F9" s="524"/>
      <c r="G9" s="520"/>
      <c r="H9" s="524"/>
      <c r="I9" s="524"/>
      <c r="J9" s="15" t="s">
        <v>42</v>
      </c>
      <c r="K9" s="15" t="s">
        <v>42</v>
      </c>
      <c r="L9" s="529"/>
      <c r="M9" s="16" t="s">
        <v>894</v>
      </c>
      <c r="N9" s="15" t="s">
        <v>44</v>
      </c>
      <c r="O9" s="16" t="s">
        <v>45</v>
      </c>
    </row>
    <row r="10" spans="1:15" x14ac:dyDescent="0.2">
      <c r="A10" s="17"/>
      <c r="B10" s="18" t="s">
        <v>46</v>
      </c>
      <c r="C10" s="19" t="s">
        <v>47</v>
      </c>
      <c r="D10" s="19" t="s">
        <v>48</v>
      </c>
      <c r="E10" s="19" t="s">
        <v>49</v>
      </c>
      <c r="F10" s="20" t="s">
        <v>50</v>
      </c>
      <c r="G10" s="18" t="s">
        <v>51</v>
      </c>
      <c r="H10" s="20" t="s">
        <v>52</v>
      </c>
      <c r="I10" s="20" t="s">
        <v>53</v>
      </c>
      <c r="J10" s="20" t="s">
        <v>54</v>
      </c>
      <c r="K10" s="21" t="s">
        <v>55</v>
      </c>
      <c r="L10" s="21" t="s">
        <v>56</v>
      </c>
      <c r="M10" s="20" t="s">
        <v>57</v>
      </c>
      <c r="N10" s="21" t="s">
        <v>58</v>
      </c>
      <c r="O10" s="21" t="s">
        <v>59</v>
      </c>
    </row>
    <row r="11" spans="1:15" x14ac:dyDescent="0.2">
      <c r="A11" s="22" t="s">
        <v>60</v>
      </c>
      <c r="B11" s="23"/>
      <c r="C11" s="24"/>
      <c r="D11" s="24"/>
      <c r="E11" s="24"/>
      <c r="F11" s="24"/>
      <c r="G11" s="23"/>
      <c r="H11" s="25"/>
      <c r="I11" s="25"/>
      <c r="J11" s="24"/>
      <c r="K11" s="24"/>
      <c r="L11" s="26"/>
      <c r="M11" s="24"/>
      <c r="N11" s="24"/>
      <c r="O11" s="25"/>
    </row>
    <row r="12" spans="1:15" ht="54.75" customHeight="1" x14ac:dyDescent="0.2">
      <c r="A12" s="27" t="s">
        <v>61</v>
      </c>
      <c r="B12" s="71" t="s">
        <v>107</v>
      </c>
      <c r="C12" s="454" t="str">
        <f>"C above EUR 395.31 per month ("&amp;TEXT(100*395.31*12/'Average wages'!B5,0)&amp;"% of AW; Geringfügigkeitsgrenze 2014)"</f>
        <v>C above EUR 395.31 per month (11% of AW; Geringfügigkeitsgrenze 2014)</v>
      </c>
      <c r="D12" s="454" t="s">
        <v>108</v>
      </c>
      <c r="E12" s="454">
        <v>0</v>
      </c>
      <c r="F12" s="454">
        <v>9</v>
      </c>
      <c r="G12" s="514">
        <v>0.55000000000000004</v>
      </c>
      <c r="H12" s="515"/>
      <c r="I12" s="453" t="s">
        <v>109</v>
      </c>
      <c r="J12" s="72" t="s">
        <v>119</v>
      </c>
      <c r="K12" s="461">
        <f>48.02*30*12/'Average wages'!B5</f>
        <v>0.40377776713734986</v>
      </c>
      <c r="L12" s="460" t="str">
        <f>"No reduction for earnings up to EUR 395.31 per month ("&amp;TEXT(100*395.31*12/'Average wages'!B5,0)&amp;"% of AW; Geringfügigkeitsgrenze 2014), fully withdrawn above this level"</f>
        <v>No reduction for earnings up to EUR 395.31 per month (11% of AW; Geringfügigkeitsgrenze 2014), fully withdrawn above this level</v>
      </c>
      <c r="M12" s="463" t="s">
        <v>1122</v>
      </c>
      <c r="N12" s="73" t="s">
        <v>1130</v>
      </c>
      <c r="O12" s="74" t="s">
        <v>1147</v>
      </c>
    </row>
    <row r="13" spans="1:15" ht="120" x14ac:dyDescent="0.2">
      <c r="A13" s="27" t="s">
        <v>62</v>
      </c>
      <c r="B13" s="71" t="s">
        <v>111</v>
      </c>
      <c r="C13" s="64" t="s">
        <v>112</v>
      </c>
      <c r="D13" s="64" t="s">
        <v>113</v>
      </c>
      <c r="E13" s="64">
        <v>0</v>
      </c>
      <c r="F13" s="64" t="s">
        <v>114</v>
      </c>
      <c r="G13" s="75" t="s">
        <v>115</v>
      </c>
      <c r="H13" s="481" t="str">
        <f>"From month 49 onwards (3rd period): Flat rate of EUR 36.66/day ("&amp;TEXT(36.66*6*52/'Average wages'!B6,"0%")&amp;" of AW)"</f>
        <v>From month 49 onwards (3rd period): Flat rate of EUR 36.66/day (25% of AW)</v>
      </c>
      <c r="I13" s="66" t="s">
        <v>116</v>
      </c>
      <c r="J13" s="464">
        <v>0.24759009480476379</v>
      </c>
      <c r="K13" s="464">
        <v>0.64071434736251831</v>
      </c>
      <c r="L13" s="76" t="s">
        <v>1099</v>
      </c>
      <c r="M13" s="73" t="s">
        <v>117</v>
      </c>
      <c r="N13" s="73" t="s">
        <v>1131</v>
      </c>
      <c r="O13" s="453" t="s">
        <v>110</v>
      </c>
    </row>
    <row r="14" spans="1:15" ht="36" x14ac:dyDescent="0.2">
      <c r="A14" s="27" t="s">
        <v>63</v>
      </c>
      <c r="B14" s="68" t="s">
        <v>118</v>
      </c>
      <c r="C14" s="64" t="s">
        <v>112</v>
      </c>
      <c r="D14" s="73" t="s">
        <v>183</v>
      </c>
      <c r="E14" s="73">
        <v>14</v>
      </c>
      <c r="F14" s="73">
        <v>9</v>
      </c>
      <c r="G14" s="514">
        <v>0.55000000000000004</v>
      </c>
      <c r="H14" s="515"/>
      <c r="I14" s="66" t="s">
        <v>116</v>
      </c>
      <c r="J14" s="464" t="s">
        <v>119</v>
      </c>
      <c r="K14" s="464">
        <v>0.54336130619049072</v>
      </c>
      <c r="L14" s="67" t="s">
        <v>184</v>
      </c>
      <c r="M14" s="454" t="s">
        <v>110</v>
      </c>
      <c r="N14" s="454" t="s">
        <v>1130</v>
      </c>
      <c r="O14" s="453" t="s">
        <v>110</v>
      </c>
    </row>
    <row r="15" spans="1:15" ht="48" x14ac:dyDescent="0.2">
      <c r="A15" s="27" t="s">
        <v>64</v>
      </c>
      <c r="B15" s="68" t="s">
        <v>185</v>
      </c>
      <c r="C15" s="64" t="s">
        <v>186</v>
      </c>
      <c r="D15" s="64" t="s">
        <v>187</v>
      </c>
      <c r="E15" s="64">
        <v>0</v>
      </c>
      <c r="F15" s="64" t="s">
        <v>188</v>
      </c>
      <c r="G15" s="65" t="s">
        <v>1089</v>
      </c>
      <c r="H15" s="95" t="s">
        <v>189</v>
      </c>
      <c r="I15" s="66" t="s">
        <v>116</v>
      </c>
      <c r="J15" s="464">
        <v>0.10777692935593577</v>
      </c>
      <c r="K15" s="464">
        <v>0.25596861737572979</v>
      </c>
      <c r="L15" s="67" t="s">
        <v>136</v>
      </c>
      <c r="M15" s="454" t="s">
        <v>110</v>
      </c>
      <c r="N15" s="454" t="s">
        <v>110</v>
      </c>
      <c r="O15" s="74" t="s">
        <v>110</v>
      </c>
    </row>
    <row r="16" spans="1:15" ht="36" x14ac:dyDescent="0.2">
      <c r="A16" s="27" t="s">
        <v>65</v>
      </c>
      <c r="B16" s="68" t="s">
        <v>190</v>
      </c>
      <c r="C16" s="64" t="s">
        <v>112</v>
      </c>
      <c r="D16" s="64" t="s">
        <v>121</v>
      </c>
      <c r="E16" s="64">
        <v>0</v>
      </c>
      <c r="F16" s="64">
        <v>11</v>
      </c>
      <c r="G16" s="75" t="s">
        <v>122</v>
      </c>
      <c r="H16" s="390" t="s">
        <v>123</v>
      </c>
      <c r="I16" s="66" t="s">
        <v>109</v>
      </c>
      <c r="J16" s="464" t="s">
        <v>119</v>
      </c>
      <c r="K16" s="464">
        <v>0.57999999999999996</v>
      </c>
      <c r="L16" s="76" t="s">
        <v>125</v>
      </c>
      <c r="M16" s="454" t="s">
        <v>1123</v>
      </c>
      <c r="N16" s="454" t="s">
        <v>110</v>
      </c>
      <c r="O16" s="453" t="s">
        <v>110</v>
      </c>
    </row>
    <row r="17" spans="1:15" ht="264" x14ac:dyDescent="0.2">
      <c r="A17" s="27" t="s">
        <v>66</v>
      </c>
      <c r="B17" s="68" t="s">
        <v>126</v>
      </c>
      <c r="C17" s="64" t="s">
        <v>127</v>
      </c>
      <c r="D17" s="64" t="s">
        <v>128</v>
      </c>
      <c r="E17" s="64">
        <v>0</v>
      </c>
      <c r="F17" s="64" t="s">
        <v>129</v>
      </c>
      <c r="G17" s="514">
        <v>0.9</v>
      </c>
      <c r="H17" s="515"/>
      <c r="I17" s="66" t="s">
        <v>130</v>
      </c>
      <c r="J17" s="464">
        <f>668*260/'Average wages'!B10</f>
        <v>0.43682092555331992</v>
      </c>
      <c r="K17" s="464">
        <f>211900/'Average wages'!B10</f>
        <v>0.53294768611670018</v>
      </c>
      <c r="L17" s="76" t="s">
        <v>131</v>
      </c>
      <c r="M17" s="454" t="s">
        <v>1124</v>
      </c>
      <c r="N17" s="454" t="s">
        <v>110</v>
      </c>
      <c r="O17" s="453" t="s">
        <v>110</v>
      </c>
    </row>
    <row r="18" spans="1:15" ht="60" x14ac:dyDescent="0.2">
      <c r="A18" s="27" t="s">
        <v>67</v>
      </c>
      <c r="B18" s="71" t="s">
        <v>132</v>
      </c>
      <c r="C18" s="64" t="s">
        <v>112</v>
      </c>
      <c r="D18" s="64" t="s">
        <v>133</v>
      </c>
      <c r="E18" s="64">
        <v>7</v>
      </c>
      <c r="F18" s="454">
        <v>12</v>
      </c>
      <c r="G18" s="75" t="s">
        <v>134</v>
      </c>
      <c r="H18" s="390" t="s">
        <v>135</v>
      </c>
      <c r="I18" s="453" t="s">
        <v>116</v>
      </c>
      <c r="J18" s="464">
        <v>0.16365671811377241</v>
      </c>
      <c r="K18" s="464">
        <v>1.1100000000000001</v>
      </c>
      <c r="L18" s="76" t="s">
        <v>136</v>
      </c>
      <c r="M18" s="458" t="s">
        <v>1110</v>
      </c>
      <c r="N18" s="454" t="s">
        <v>110</v>
      </c>
      <c r="O18" s="453" t="s">
        <v>110</v>
      </c>
    </row>
    <row r="19" spans="1:15" ht="144" x14ac:dyDescent="0.2">
      <c r="A19" s="89" t="s">
        <v>68</v>
      </c>
      <c r="B19" s="90" t="s">
        <v>225</v>
      </c>
      <c r="C19" s="91" t="s">
        <v>191</v>
      </c>
      <c r="D19" s="92" t="s">
        <v>967</v>
      </c>
      <c r="E19" s="91">
        <v>5</v>
      </c>
      <c r="F19" s="91">
        <v>23</v>
      </c>
      <c r="G19" s="532" t="str">
        <f>"Basic flat-rate benefit: EUR 32.66 per day ("&amp;TEXT(32.66*5*52/'Average wages'!B12,"0%")&amp;" of AW)
Earnings-related benefit: 45% of daily reference earnings above basic benefit and up to EUR 158.53 per day ("&amp;TEXT(158.53*5*52/'Average wages'!B12,"0%")&amp;" % of AW), plus 20% of daily reference earnings in excess of this amount"</f>
        <v>Basic flat-rate benefit: EUR 32.66 per day (20% of AW)
Earnings-related benefit: 45% of daily reference earnings above basic benefit and up to EUR 158.53 per day (97% % of AW), plus 20% of daily reference earnings in excess of this amount</v>
      </c>
      <c r="H19" s="533"/>
      <c r="I19" s="93" t="s">
        <v>192</v>
      </c>
      <c r="J19" s="94">
        <v>0.19818338024653701</v>
      </c>
      <c r="K19" s="95" t="s">
        <v>119</v>
      </c>
      <c r="L19" s="493" t="str">
        <f>"For part-time work (&lt; 80% of full-time): benefit reduced by 50% of current earnings exceeding EUR 300 per month ("&amp;TEXT(300*12/'Average wages'!B12,"0%")&amp;" of AW); total income (benefit + earnings) cannot exceed 100% of reference earnings"</f>
        <v>For part-time work (&lt; 80% of full-time): benefit reduced by 50% of current earnings exceeding EUR 300 per month (8% of AW); total income (benefit + earnings) cannot exceed 100% of reference earnings</v>
      </c>
      <c r="M19" s="469" t="s">
        <v>1125</v>
      </c>
      <c r="N19" s="91" t="s">
        <v>968</v>
      </c>
      <c r="O19" s="93" t="s">
        <v>1142</v>
      </c>
    </row>
    <row r="20" spans="1:15" ht="48" x14ac:dyDescent="0.2">
      <c r="A20" s="27" t="s">
        <v>69</v>
      </c>
      <c r="B20" s="81" t="s">
        <v>227</v>
      </c>
      <c r="C20" s="59" t="s">
        <v>112</v>
      </c>
      <c r="D20" s="59" t="s">
        <v>137</v>
      </c>
      <c r="E20" s="59">
        <v>7</v>
      </c>
      <c r="F20" s="59">
        <v>24</v>
      </c>
      <c r="G20" s="514" t="s">
        <v>138</v>
      </c>
      <c r="H20" s="515"/>
      <c r="I20" s="61" t="s">
        <v>116</v>
      </c>
      <c r="J20" s="29">
        <v>0.28142866830674285</v>
      </c>
      <c r="K20" s="29">
        <f>0.57*12516*12/'Average wages'!B13</f>
        <v>2.2991658385927214</v>
      </c>
      <c r="L20" s="80" t="s">
        <v>139</v>
      </c>
      <c r="M20" s="471" t="s">
        <v>1111</v>
      </c>
      <c r="N20" s="59" t="s">
        <v>110</v>
      </c>
      <c r="O20" s="448" t="s">
        <v>110</v>
      </c>
    </row>
    <row r="21" spans="1:15" ht="83.25" customHeight="1" x14ac:dyDescent="0.2">
      <c r="A21" s="27" t="s">
        <v>70</v>
      </c>
      <c r="B21" s="82" t="s">
        <v>228</v>
      </c>
      <c r="C21" s="454" t="s">
        <v>112</v>
      </c>
      <c r="D21" s="454" t="str">
        <f>"E: 12 months
C: 12 months in last 2 years (Marginally employed - &lt;EUR450/month, &lt;"&amp;TEXT(450*12/'Average wages'!B14,"0%")&amp;" of AW - are contribution and insurance free)"</f>
        <v>E: 12 months
C: 12 months in last 2 years (Marginally employed - &lt;EUR450/month, &lt;12% of AW - are contribution and insurance free)</v>
      </c>
      <c r="E21" s="454">
        <v>0</v>
      </c>
      <c r="F21" s="454">
        <v>12</v>
      </c>
      <c r="G21" s="514">
        <v>0.6</v>
      </c>
      <c r="H21" s="515"/>
      <c r="I21" s="453" t="s">
        <v>109</v>
      </c>
      <c r="J21" s="464" t="s">
        <v>119</v>
      </c>
      <c r="K21" s="464">
        <f>0.6*5950*12/'Average wages'!B14</f>
        <v>0.93191211659778117</v>
      </c>
      <c r="L21" s="494" t="str">
        <f>"Work income from up to 15 hours per week disregarded up to EUR165 net income/month ("&amp;TEXT(100*165*12/'Average wages'!B14,0)&amp;"% of AW), 100% withdrawal rate above this level
Total loss of benefit if working 15 hours or more per week"</f>
        <v>Work income from up to 15 hours per week disregarded up to EUR165 net income/month (4% of AW), 100% withdrawal rate above this level
Total loss of benefit if working 15 hours or more per week</v>
      </c>
      <c r="M21" s="458" t="s">
        <v>899</v>
      </c>
      <c r="N21" s="454" t="s">
        <v>1132</v>
      </c>
      <c r="O21" s="453" t="s">
        <v>110</v>
      </c>
    </row>
    <row r="22" spans="1:15" ht="63.75" customHeight="1" x14ac:dyDescent="0.2">
      <c r="A22" s="27" t="s">
        <v>71</v>
      </c>
      <c r="B22" s="82" t="s">
        <v>140</v>
      </c>
      <c r="C22" s="59" t="s">
        <v>112</v>
      </c>
      <c r="D22" s="59" t="s">
        <v>141</v>
      </c>
      <c r="E22" s="59">
        <v>6</v>
      </c>
      <c r="F22" s="59">
        <v>12</v>
      </c>
      <c r="G22" s="534" t="str">
        <f>"Flat rate of EUR 360/month ("&amp;TEXT(360*12/'Average wages'!B15,"0%")&amp;" of AW) for prior full-time employed (lower for part-time with low income)"</f>
        <v>Flat rate of EUR 360/month (20% of AW) for prior full-time employed (lower for part-time with low income)</v>
      </c>
      <c r="H22" s="535"/>
      <c r="I22" s="61" t="s">
        <v>110</v>
      </c>
      <c r="J22" s="29" t="s">
        <v>110</v>
      </c>
      <c r="K22" s="29" t="str">
        <f>"Flat rate of "&amp;TEXT(360*12/'Average wages'!B15,"0%")</f>
        <v>Flat rate of 20%</v>
      </c>
      <c r="L22" s="80" t="s">
        <v>1100</v>
      </c>
      <c r="M22" s="59" t="s">
        <v>1112</v>
      </c>
      <c r="N22" s="59" t="s">
        <v>1133</v>
      </c>
      <c r="O22" s="448" t="s">
        <v>110</v>
      </c>
    </row>
    <row r="23" spans="1:15" ht="36" x14ac:dyDescent="0.2">
      <c r="A23" s="27" t="s">
        <v>72</v>
      </c>
      <c r="B23" s="71" t="s">
        <v>142</v>
      </c>
      <c r="C23" s="64" t="s">
        <v>112</v>
      </c>
      <c r="D23" s="64" t="s">
        <v>143</v>
      </c>
      <c r="E23" s="64">
        <v>0</v>
      </c>
      <c r="F23" s="64" t="s">
        <v>144</v>
      </c>
      <c r="G23" s="514">
        <v>0.6</v>
      </c>
      <c r="H23" s="515"/>
      <c r="I23" s="66" t="s">
        <v>116</v>
      </c>
      <c r="J23" s="464">
        <v>0.24053014808148573</v>
      </c>
      <c r="K23" s="464">
        <v>0.40088358013580955</v>
      </c>
      <c r="L23" s="76" t="s">
        <v>145</v>
      </c>
      <c r="M23" s="454" t="s">
        <v>110</v>
      </c>
      <c r="N23" s="454" t="s">
        <v>110</v>
      </c>
      <c r="O23" s="453" t="s">
        <v>110</v>
      </c>
    </row>
    <row r="24" spans="1:15" ht="48" x14ac:dyDescent="0.2">
      <c r="A24" s="27" t="s">
        <v>73</v>
      </c>
      <c r="B24" s="77" t="s">
        <v>146</v>
      </c>
      <c r="C24" s="59" t="s">
        <v>112</v>
      </c>
      <c r="D24" s="59" t="s">
        <v>147</v>
      </c>
      <c r="E24" s="59">
        <v>0</v>
      </c>
      <c r="F24" s="59">
        <v>36</v>
      </c>
      <c r="G24" s="78" t="s">
        <v>1090</v>
      </c>
      <c r="H24" s="85" t="s">
        <v>917</v>
      </c>
      <c r="I24" s="61" t="s">
        <v>116</v>
      </c>
      <c r="J24" s="29">
        <v>7.0000000000000007E-2</v>
      </c>
      <c r="K24" s="29">
        <v>0.47</v>
      </c>
      <c r="L24" s="80" t="s">
        <v>193</v>
      </c>
      <c r="M24" s="59" t="s">
        <v>110</v>
      </c>
      <c r="N24" s="59" t="s">
        <v>1134</v>
      </c>
      <c r="O24" s="448" t="s">
        <v>110</v>
      </c>
    </row>
    <row r="25" spans="1:15" ht="84" x14ac:dyDescent="0.2">
      <c r="A25" s="27" t="s">
        <v>74</v>
      </c>
      <c r="B25" s="82" t="s">
        <v>148</v>
      </c>
      <c r="C25" s="64" t="s">
        <v>112</v>
      </c>
      <c r="D25" s="64" t="s">
        <v>149</v>
      </c>
      <c r="E25" s="64">
        <v>3</v>
      </c>
      <c r="F25" s="64">
        <v>12</v>
      </c>
      <c r="G25" s="534" t="str">
        <f>"Flat rate depending on average weekly earnings in relevant tax year, for highest income group flat rate of "&amp;TEXT(188*52*100/'Average wages'!B18,0)&amp;"% of AW"</f>
        <v>Flat rate depending on average weekly earnings in relevant tax year, for highest income group flat rate of 23% of AW</v>
      </c>
      <c r="H25" s="535"/>
      <c r="I25" s="66" t="s">
        <v>110</v>
      </c>
      <c r="J25" s="464">
        <f>84.5*52/'Average wages'!B18</f>
        <v>0.10133088713851578</v>
      </c>
      <c r="K25" s="464">
        <f>188*52/'Average wages'!B18</f>
        <v>0.22544623410699369</v>
      </c>
      <c r="L25" s="76" t="s">
        <v>980</v>
      </c>
      <c r="M25" s="454" t="s">
        <v>110</v>
      </c>
      <c r="N25" s="454" t="s">
        <v>1135</v>
      </c>
      <c r="O25" s="453" t="s">
        <v>110</v>
      </c>
    </row>
    <row r="26" spans="1:15" ht="118.15" customHeight="1" x14ac:dyDescent="0.2">
      <c r="A26" s="27" t="s">
        <v>75</v>
      </c>
      <c r="B26" s="81" t="s">
        <v>150</v>
      </c>
      <c r="C26" s="59" t="s">
        <v>112</v>
      </c>
      <c r="D26" s="59" t="s">
        <v>151</v>
      </c>
      <c r="E26" s="59">
        <v>5</v>
      </c>
      <c r="F26" s="59" t="s">
        <v>1082</v>
      </c>
      <c r="G26" s="514" t="s">
        <v>1091</v>
      </c>
      <c r="H26" s="515"/>
      <c r="I26" s="448" t="s">
        <v>116</v>
      </c>
      <c r="J26" s="29" t="s">
        <v>119</v>
      </c>
      <c r="K26" s="29" t="str">
        <f>""&amp;TEXT(100*363.56*25*12/'Average wages'!B19,0)&amp;"% (based on 25 working days per month)"</f>
        <v>81% (based on 25 working days per month)</v>
      </c>
      <c r="L26" s="78" t="s">
        <v>1101</v>
      </c>
      <c r="M26" s="471" t="s">
        <v>1113</v>
      </c>
      <c r="N26" s="59" t="s">
        <v>1136</v>
      </c>
      <c r="O26" s="448" t="s">
        <v>110</v>
      </c>
    </row>
    <row r="27" spans="1:15" ht="144" x14ac:dyDescent="0.2">
      <c r="A27" s="27" t="s">
        <v>76</v>
      </c>
      <c r="B27" s="68" t="s">
        <v>226</v>
      </c>
      <c r="C27" s="64" t="s">
        <v>112</v>
      </c>
      <c r="D27" s="64" t="s">
        <v>152</v>
      </c>
      <c r="E27" s="64">
        <v>8</v>
      </c>
      <c r="F27" s="64">
        <v>8</v>
      </c>
      <c r="G27" s="65" t="str">
        <f>"Until month 6: 75% of ref. earnings if below EUR1180/month ("&amp;TEXT(1180*12/'Average wages'!B20,"0%")&amp;" of AW), plus 25% of earnings above this threshold"</f>
        <v>Until month 6: 75% of ref. earnings if below EUR1180/month (47% of AW), plus 25% of earnings above this threshold</v>
      </c>
      <c r="H27" s="95" t="s">
        <v>194</v>
      </c>
      <c r="I27" s="66" t="s">
        <v>116</v>
      </c>
      <c r="J27" s="28" t="s">
        <v>119</v>
      </c>
      <c r="K27" s="464">
        <v>0.46056127034854694</v>
      </c>
      <c r="L27" s="67" t="s">
        <v>1102</v>
      </c>
      <c r="M27" s="64" t="s">
        <v>1114</v>
      </c>
      <c r="N27" s="64" t="s">
        <v>110</v>
      </c>
      <c r="O27" s="66"/>
    </row>
    <row r="28" spans="1:15" ht="216" x14ac:dyDescent="0.2">
      <c r="A28" s="27" t="s">
        <v>77</v>
      </c>
      <c r="B28" s="77" t="s">
        <v>195</v>
      </c>
      <c r="C28" s="59" t="s">
        <v>112</v>
      </c>
      <c r="D28" s="59" t="s">
        <v>154</v>
      </c>
      <c r="E28" s="59">
        <v>7</v>
      </c>
      <c r="F28" s="59">
        <v>9</v>
      </c>
      <c r="G28" s="514" t="s">
        <v>989</v>
      </c>
      <c r="H28" s="515"/>
      <c r="I28" s="61" t="s">
        <v>116</v>
      </c>
      <c r="J28" s="29">
        <f>0.8*2310*365/'Average wages'!B21</f>
        <v>0.13565130302838335</v>
      </c>
      <c r="K28" s="29">
        <f>0.5*14230*365/'Average wages'!B21</f>
        <v>0.52227219753622711</v>
      </c>
      <c r="L28" s="80" t="s">
        <v>990</v>
      </c>
      <c r="M28" s="59" t="s">
        <v>1126</v>
      </c>
      <c r="N28" s="59" t="s">
        <v>110</v>
      </c>
      <c r="O28" s="61" t="s">
        <v>1143</v>
      </c>
    </row>
    <row r="29" spans="1:15" ht="72" x14ac:dyDescent="0.2">
      <c r="A29" s="27" t="s">
        <v>78</v>
      </c>
      <c r="B29" s="68" t="s">
        <v>196</v>
      </c>
      <c r="C29" s="64" t="s">
        <v>112</v>
      </c>
      <c r="D29" s="64" t="s">
        <v>155</v>
      </c>
      <c r="E29" s="64">
        <v>7</v>
      </c>
      <c r="F29" s="454">
        <v>8</v>
      </c>
      <c r="G29" s="530">
        <v>0.5</v>
      </c>
      <c r="H29" s="531"/>
      <c r="I29" s="66" t="s">
        <v>116</v>
      </c>
      <c r="J29" s="464">
        <v>0.33</v>
      </c>
      <c r="K29" s="464">
        <v>0.35</v>
      </c>
      <c r="L29" s="67" t="s">
        <v>197</v>
      </c>
      <c r="M29" s="458" t="s">
        <v>1115</v>
      </c>
      <c r="N29" s="454" t="s">
        <v>110</v>
      </c>
      <c r="O29" s="453" t="s">
        <v>110</v>
      </c>
    </row>
    <row r="30" spans="1:15" ht="132" x14ac:dyDescent="0.2">
      <c r="A30" s="30" t="s">
        <v>79</v>
      </c>
      <c r="B30" s="69" t="s">
        <v>198</v>
      </c>
      <c r="C30" s="59" t="s">
        <v>112</v>
      </c>
      <c r="D30" s="59" t="s">
        <v>156</v>
      </c>
      <c r="E30" s="59">
        <v>0</v>
      </c>
      <c r="F30" s="59">
        <v>12</v>
      </c>
      <c r="G30" s="530">
        <v>0.8</v>
      </c>
      <c r="H30" s="531"/>
      <c r="I30" s="61" t="s">
        <v>116</v>
      </c>
      <c r="J30" s="29" t="s">
        <v>119</v>
      </c>
      <c r="K30" s="29">
        <v>1.0512560026274951</v>
      </c>
      <c r="L30" s="62" t="s">
        <v>199</v>
      </c>
      <c r="M30" s="59" t="s">
        <v>1116</v>
      </c>
      <c r="N30" s="59" t="s">
        <v>1137</v>
      </c>
      <c r="O30" s="448" t="s">
        <v>110</v>
      </c>
    </row>
    <row r="31" spans="1:15" ht="108" x14ac:dyDescent="0.2">
      <c r="A31" s="27" t="s">
        <v>80</v>
      </c>
      <c r="B31" s="71" t="s">
        <v>1066</v>
      </c>
      <c r="C31" s="73" t="s">
        <v>112</v>
      </c>
      <c r="D31" s="73" t="s">
        <v>157</v>
      </c>
      <c r="E31" s="73">
        <v>0</v>
      </c>
      <c r="F31" s="73">
        <v>22</v>
      </c>
      <c r="G31" s="477" t="s">
        <v>158</v>
      </c>
      <c r="H31" s="478" t="s">
        <v>159</v>
      </c>
      <c r="I31" s="74" t="s">
        <v>116</v>
      </c>
      <c r="J31" s="72">
        <f>(1614.82*12)/'Average wages'!B25</f>
        <v>0.40069975186104217</v>
      </c>
      <c r="K31" s="72">
        <f>(198.28 *5*52)/'Average wages'!B25</f>
        <v>1.066021505376344</v>
      </c>
      <c r="L31" s="494" t="s">
        <v>160</v>
      </c>
      <c r="M31" s="463" t="s">
        <v>1145</v>
      </c>
      <c r="N31" s="73" t="s">
        <v>110</v>
      </c>
      <c r="O31" s="74" t="s">
        <v>1144</v>
      </c>
    </row>
    <row r="32" spans="1:15" ht="84" x14ac:dyDescent="0.2">
      <c r="A32" s="27" t="s">
        <v>81</v>
      </c>
      <c r="B32" s="68" t="s">
        <v>1042</v>
      </c>
      <c r="C32" s="454" t="s">
        <v>112</v>
      </c>
      <c r="D32" s="454" t="str">
        <f>"E + C: prior work income of  "&amp;TEXT(100*132555/'Average wages'!B27,0)&amp;"% of AW in preceding calendar year or  "&amp;TEXT(100*265110/'Average wages'!B27,0)&amp;"% of AW in 3 preceding years"</f>
        <v>E + C: prior work income of  25% of AW in preceding calendar year or  49% of AW in 3 preceding years</v>
      </c>
      <c r="E32" s="454" t="s">
        <v>161</v>
      </c>
      <c r="F32" s="454">
        <v>24</v>
      </c>
      <c r="G32" s="530">
        <v>0.624</v>
      </c>
      <c r="H32" s="531"/>
      <c r="I32" s="453" t="s">
        <v>116</v>
      </c>
      <c r="J32" s="464">
        <f>132555*0.624/'Average wages'!B27</f>
        <v>0.15377810333512432</v>
      </c>
      <c r="K32" s="464">
        <f>530220*0.624/'Average wages'!B27</f>
        <v>0.61511241334049727</v>
      </c>
      <c r="L32" s="460" t="s">
        <v>1108</v>
      </c>
      <c r="M32" s="458" t="s">
        <v>110</v>
      </c>
      <c r="N32" s="454" t="s">
        <v>162</v>
      </c>
      <c r="O32" s="453" t="s">
        <v>1043</v>
      </c>
    </row>
    <row r="33" spans="1:15" ht="84" x14ac:dyDescent="0.2">
      <c r="A33" s="27" t="s">
        <v>82</v>
      </c>
      <c r="B33" s="77" t="s">
        <v>163</v>
      </c>
      <c r="C33" s="83" t="s">
        <v>112</v>
      </c>
      <c r="D33" s="83" t="s">
        <v>164</v>
      </c>
      <c r="E33" s="83">
        <v>7</v>
      </c>
      <c r="F33" s="83">
        <v>12</v>
      </c>
      <c r="G33" s="78" t="str">
        <f>"Until month 3: Flat rate ot PLN 831.1/month ("&amp;TEXT(831.1*12/'Average wages'!B28,"0%")&amp;" of AW)"</f>
        <v>Until month 3: Flat rate ot PLN 831.1/month (22% of AW)</v>
      </c>
      <c r="H33" s="85" t="str">
        <f>"From month 4: Basic rate of PLN 652.6/month ("&amp;TEXT(652.6*12/'Average wages'!B28,"0%")&amp;" of AW)"</f>
        <v>From month 4: Basic rate of PLN 652.6/month (18% of AW)</v>
      </c>
      <c r="I33" s="84" t="s">
        <v>110</v>
      </c>
      <c r="J33" s="79">
        <v>0.14000000000000001</v>
      </c>
      <c r="K33" s="79">
        <v>0.27</v>
      </c>
      <c r="L33" s="80" t="s">
        <v>200</v>
      </c>
      <c r="M33" s="473" t="s">
        <v>1117</v>
      </c>
      <c r="N33" s="83" t="s">
        <v>110</v>
      </c>
      <c r="O33" s="84" t="s">
        <v>1146</v>
      </c>
    </row>
    <row r="34" spans="1:15" ht="60" x14ac:dyDescent="0.2">
      <c r="A34" s="27" t="s">
        <v>83</v>
      </c>
      <c r="B34" s="68" t="s">
        <v>201</v>
      </c>
      <c r="C34" s="64" t="s">
        <v>112</v>
      </c>
      <c r="D34" s="64" t="s">
        <v>165</v>
      </c>
      <c r="E34" s="64">
        <v>0</v>
      </c>
      <c r="F34" s="64">
        <v>24</v>
      </c>
      <c r="G34" s="65" t="s">
        <v>202</v>
      </c>
      <c r="H34" s="95" t="s">
        <v>203</v>
      </c>
      <c r="I34" s="66" t="s">
        <v>116</v>
      </c>
      <c r="J34" s="464">
        <f>419.22*12/'Average wages'!B29</f>
        <v>0.29007549075912842</v>
      </c>
      <c r="K34" s="464">
        <f>2.5*419.22*12/'Average wages'!B29</f>
        <v>0.72518872689782121</v>
      </c>
      <c r="L34" s="67" t="s">
        <v>1103</v>
      </c>
      <c r="M34" s="454" t="s">
        <v>1118</v>
      </c>
      <c r="N34" s="454" t="s">
        <v>110</v>
      </c>
      <c r="O34" s="453" t="s">
        <v>110</v>
      </c>
    </row>
    <row r="35" spans="1:15" ht="48" x14ac:dyDescent="0.2">
      <c r="A35" s="27" t="s">
        <v>84</v>
      </c>
      <c r="B35" s="69" t="s">
        <v>204</v>
      </c>
      <c r="C35" s="59" t="s">
        <v>112</v>
      </c>
      <c r="D35" s="59" t="s">
        <v>166</v>
      </c>
      <c r="E35" s="59">
        <v>0</v>
      </c>
      <c r="F35" s="59">
        <v>6</v>
      </c>
      <c r="G35" s="530">
        <v>0.5</v>
      </c>
      <c r="H35" s="531"/>
      <c r="I35" s="61" t="s">
        <v>116</v>
      </c>
      <c r="J35" s="29" t="s">
        <v>119</v>
      </c>
      <c r="K35" s="29">
        <f>19320*0.5/'Average wages'!B30</f>
        <v>0.92685341899531382</v>
      </c>
      <c r="L35" s="62" t="s">
        <v>1104</v>
      </c>
      <c r="M35" s="59" t="s">
        <v>110</v>
      </c>
      <c r="N35" s="59" t="s">
        <v>110</v>
      </c>
      <c r="O35" s="448" t="s">
        <v>110</v>
      </c>
    </row>
    <row r="36" spans="1:15" ht="120" x14ac:dyDescent="0.2">
      <c r="A36" s="27" t="s">
        <v>85</v>
      </c>
      <c r="B36" s="68" t="s">
        <v>205</v>
      </c>
      <c r="C36" s="64" t="s">
        <v>112</v>
      </c>
      <c r="D36" s="64" t="s">
        <v>884</v>
      </c>
      <c r="E36" s="64">
        <v>0</v>
      </c>
      <c r="F36" s="64">
        <v>12</v>
      </c>
      <c r="G36" s="65" t="s">
        <v>206</v>
      </c>
      <c r="H36" s="95" t="s">
        <v>207</v>
      </c>
      <c r="I36" s="66" t="s">
        <v>116</v>
      </c>
      <c r="J36" s="464">
        <f>12*350/'Average wages'!B31</f>
        <v>0.23400936037441497</v>
      </c>
      <c r="K36" s="464">
        <f>892.5*12/'Average wages'!B31</f>
        <v>0.59672386895475815</v>
      </c>
      <c r="L36" s="67" t="s">
        <v>208</v>
      </c>
      <c r="M36" s="454" t="s">
        <v>1119</v>
      </c>
      <c r="N36" s="454" t="s">
        <v>110</v>
      </c>
      <c r="O36" s="453" t="s">
        <v>110</v>
      </c>
    </row>
    <row r="37" spans="1:15" ht="48" x14ac:dyDescent="0.2">
      <c r="A37" s="27" t="s">
        <v>86</v>
      </c>
      <c r="B37" s="69" t="s">
        <v>1017</v>
      </c>
      <c r="C37" s="59" t="s">
        <v>112</v>
      </c>
      <c r="D37" s="59" t="s">
        <v>167</v>
      </c>
      <c r="E37" s="59">
        <v>0</v>
      </c>
      <c r="F37" s="59">
        <v>24</v>
      </c>
      <c r="G37" s="60" t="s">
        <v>209</v>
      </c>
      <c r="H37" s="31" t="s">
        <v>210</v>
      </c>
      <c r="I37" s="448" t="s">
        <v>116</v>
      </c>
      <c r="J37" s="29">
        <v>0.22915377879969925</v>
      </c>
      <c r="K37" s="29">
        <v>0.50127389112434206</v>
      </c>
      <c r="L37" s="460" t="s">
        <v>211</v>
      </c>
      <c r="M37" s="471" t="s">
        <v>1127</v>
      </c>
      <c r="N37" s="59" t="s">
        <v>168</v>
      </c>
      <c r="O37" s="448" t="s">
        <v>110</v>
      </c>
    </row>
    <row r="38" spans="1:15" ht="87" customHeight="1" x14ac:dyDescent="0.2">
      <c r="A38" s="27" t="s">
        <v>87</v>
      </c>
      <c r="B38" s="71" t="s">
        <v>1009</v>
      </c>
      <c r="C38" s="73" t="s">
        <v>127</v>
      </c>
      <c r="D38" s="73" t="s">
        <v>999</v>
      </c>
      <c r="E38" s="73">
        <v>7</v>
      </c>
      <c r="F38" s="73" t="s">
        <v>1010</v>
      </c>
      <c r="G38" s="75" t="s">
        <v>1012</v>
      </c>
      <c r="H38" s="390" t="s">
        <v>1011</v>
      </c>
      <c r="I38" s="74" t="s">
        <v>116</v>
      </c>
      <c r="J38" s="72">
        <f>320*5*52/'Average wages'!B33</f>
        <v>0.20382764804452849</v>
      </c>
      <c r="K38" s="72">
        <f>680*52*5/'Average wages'!B33</f>
        <v>0.43313375209462307</v>
      </c>
      <c r="L38" s="76" t="s">
        <v>169</v>
      </c>
      <c r="M38" s="73" t="s">
        <v>110</v>
      </c>
      <c r="N38" s="73" t="s">
        <v>1000</v>
      </c>
      <c r="O38" s="74" t="s">
        <v>1001</v>
      </c>
    </row>
    <row r="39" spans="1:15" ht="108" x14ac:dyDescent="0.2">
      <c r="A39" s="27" t="s">
        <v>88</v>
      </c>
      <c r="B39" s="69" t="s">
        <v>1076</v>
      </c>
      <c r="C39" s="59" t="s">
        <v>112</v>
      </c>
      <c r="D39" s="59" t="s">
        <v>170</v>
      </c>
      <c r="E39" s="59" t="s">
        <v>1077</v>
      </c>
      <c r="F39" s="59">
        <v>18</v>
      </c>
      <c r="G39" s="530">
        <v>0.7</v>
      </c>
      <c r="H39" s="531"/>
      <c r="I39" s="448" t="str">
        <f>"Gross (limit of "&amp;TEXT(100*10500*12/'Average wages'!B34,0)&amp;"% of AW) less current earnings"</f>
        <v>Gross (limit of 145% of AW) less current earnings</v>
      </c>
      <c r="J39" s="29" t="s">
        <v>119</v>
      </c>
      <c r="K39" s="29">
        <f>126000*0.7/'Average wages'!B34</f>
        <v>1.0158949550794747</v>
      </c>
      <c r="L39" s="60" t="s">
        <v>212</v>
      </c>
      <c r="M39" s="471" t="s">
        <v>1128</v>
      </c>
      <c r="N39" s="59" t="s">
        <v>1138</v>
      </c>
      <c r="O39" s="448" t="str">
        <f>"G: + replacement rate 80% if previous earnings below 36,456 SWF/year ("&amp;TEXT(100*140*21.7*12/'Average wages'!B34,0)&amp;"% of AW) or are in receipt of a disability pension for a disability of more than 40%"</f>
        <v>G: + replacement rate 80% if previous earnings below 36,456 SWF/year (42% of AW) or are in receipt of a disability pension for a disability of more than 40%</v>
      </c>
    </row>
    <row r="40" spans="1:15" ht="36" x14ac:dyDescent="0.2">
      <c r="A40" s="27" t="s">
        <v>89</v>
      </c>
      <c r="B40" s="68" t="s">
        <v>213</v>
      </c>
      <c r="C40" s="64" t="s">
        <v>112</v>
      </c>
      <c r="D40" s="64" t="s">
        <v>171</v>
      </c>
      <c r="E40" s="64">
        <v>0</v>
      </c>
      <c r="F40" s="64">
        <v>10</v>
      </c>
      <c r="G40" s="530">
        <v>0.4</v>
      </c>
      <c r="H40" s="531"/>
      <c r="I40" s="66" t="s">
        <v>116</v>
      </c>
      <c r="J40" s="464">
        <v>0.18568266809127681</v>
      </c>
      <c r="K40" s="464">
        <v>0.374204380676181</v>
      </c>
      <c r="L40" s="67" t="s">
        <v>153</v>
      </c>
      <c r="M40" s="454" t="s">
        <v>110</v>
      </c>
      <c r="N40" s="454" t="s">
        <v>110</v>
      </c>
      <c r="O40" s="453" t="s">
        <v>110</v>
      </c>
    </row>
    <row r="41" spans="1:15" ht="48" x14ac:dyDescent="0.2">
      <c r="A41" s="27" t="s">
        <v>90</v>
      </c>
      <c r="B41" s="77" t="s">
        <v>172</v>
      </c>
      <c r="C41" s="83" t="s">
        <v>112</v>
      </c>
      <c r="D41" s="83" t="s">
        <v>173</v>
      </c>
      <c r="E41" s="83">
        <v>3</v>
      </c>
      <c r="F41" s="83">
        <v>6</v>
      </c>
      <c r="G41" s="514" t="str">
        <f>"Flat rate of GBP 72.40/week ("&amp;TEXT(72.4*52*100/'Average wages'!B36,"0.0")&amp;"% of AW)"</f>
        <v>Flat rate of GBP 72.40/week (10.7% of AW)</v>
      </c>
      <c r="H41" s="515"/>
      <c r="I41" s="84" t="s">
        <v>110</v>
      </c>
      <c r="J41" s="79" t="s">
        <v>110</v>
      </c>
      <c r="K41" s="85" t="str">
        <f>"Flat rate of "&amp;TEXT(72.4*52/'Average wages'!B36,"0%")</f>
        <v>Flat rate of 11%</v>
      </c>
      <c r="L41" s="80" t="str">
        <f>"GBP 5/10/20 ("&amp;TEXT(5*52*100/'Average wages'!B36,"0.0")&amp;"/"&amp;TEXT(10*52*100/'Average wages'!B36,"0.0")&amp;"/"&amp;TEXT(20*52*100/'Average wages'!B36,"0.0")&amp;"% of AW) are disregarded per week for a single/couple/lone parent. Earnings reduce benefit one-for-one above this level. Must be working less than 16 hours a week"</f>
        <v>GBP 5/10/20 (0.7/1.5/3.0% of AW) are disregarded per week for a single/couple/lone parent. Earnings reduce benefit one-for-one above this level. Must be working less than 16 hours a week</v>
      </c>
      <c r="M41" s="473" t="s">
        <v>1129</v>
      </c>
      <c r="N41" s="83" t="s">
        <v>110</v>
      </c>
      <c r="O41" s="84" t="s">
        <v>110</v>
      </c>
    </row>
    <row r="42" spans="1:15" ht="72" x14ac:dyDescent="0.2">
      <c r="A42" s="27" t="s">
        <v>91</v>
      </c>
      <c r="B42" s="68" t="s">
        <v>214</v>
      </c>
      <c r="C42" s="454" t="s">
        <v>112</v>
      </c>
      <c r="D42" s="454" t="s">
        <v>215</v>
      </c>
      <c r="E42" s="454">
        <v>0</v>
      </c>
      <c r="F42" s="454">
        <v>20</v>
      </c>
      <c r="G42" s="530" t="s">
        <v>1096</v>
      </c>
      <c r="H42" s="531"/>
      <c r="I42" s="453" t="s">
        <v>216</v>
      </c>
      <c r="J42" s="464">
        <f>(117*52)/'Average wages'!B37</f>
        <v>0.12143967089130611</v>
      </c>
      <c r="K42" s="464">
        <f>(362*52)/'Average wages'!B37</f>
        <v>0.37573641762951121</v>
      </c>
      <c r="L42" s="460" t="s">
        <v>1105</v>
      </c>
      <c r="M42" s="458" t="s">
        <v>110</v>
      </c>
      <c r="N42" s="476" t="str">
        <f>"G: + weekly lump-sum of USD 6 ("&amp;TEXT(100*6*12/'Average wages'!B37,"0.00")&amp;"% of AW) for each dependent for up to a maximum of 5"</f>
        <v>G: + weekly lump-sum of USD 6 (0.14% of AW) for each dependent for up to a maximum of 5</v>
      </c>
      <c r="O42" s="453" t="s">
        <v>110</v>
      </c>
    </row>
    <row r="43" spans="1:15" x14ac:dyDescent="0.2">
      <c r="A43" s="32" t="s">
        <v>92</v>
      </c>
      <c r="B43" s="55"/>
      <c r="C43" s="46"/>
      <c r="D43" s="46"/>
      <c r="E43" s="46"/>
      <c r="F43" s="46"/>
      <c r="G43" s="55"/>
      <c r="H43" s="57"/>
      <c r="I43" s="57"/>
      <c r="J43" s="46"/>
      <c r="K43" s="46"/>
      <c r="L43" s="56"/>
      <c r="M43" s="46"/>
      <c r="N43" s="46"/>
      <c r="O43" s="57"/>
    </row>
    <row r="44" spans="1:15" ht="60" x14ac:dyDescent="0.2">
      <c r="A44" s="34" t="s">
        <v>93</v>
      </c>
      <c r="B44" s="71" t="s">
        <v>217</v>
      </c>
      <c r="C44" s="86" t="s">
        <v>218</v>
      </c>
      <c r="D44" s="482" t="s">
        <v>175</v>
      </c>
      <c r="E44" s="86" t="s">
        <v>120</v>
      </c>
      <c r="F44" s="86">
        <v>12</v>
      </c>
      <c r="G44" s="514">
        <v>0.6</v>
      </c>
      <c r="H44" s="515"/>
      <c r="I44" s="87" t="s">
        <v>116</v>
      </c>
      <c r="J44" s="88">
        <v>0.19755171239376068</v>
      </c>
      <c r="K44" s="88" t="s">
        <v>124</v>
      </c>
      <c r="L44" s="76" t="s">
        <v>1109</v>
      </c>
      <c r="M44" s="73" t="s">
        <v>110</v>
      </c>
      <c r="N44" s="73" t="s">
        <v>110</v>
      </c>
      <c r="O44" s="74" t="s">
        <v>110</v>
      </c>
    </row>
    <row r="45" spans="1:15" ht="108" x14ac:dyDescent="0.2">
      <c r="A45" s="30" t="s">
        <v>94</v>
      </c>
      <c r="B45" s="69" t="s">
        <v>219</v>
      </c>
      <c r="C45" s="59" t="s">
        <v>112</v>
      </c>
      <c r="D45" s="59" t="s">
        <v>176</v>
      </c>
      <c r="E45" s="59">
        <v>0</v>
      </c>
      <c r="F45" s="59">
        <v>14</v>
      </c>
      <c r="G45" s="60" t="s">
        <v>220</v>
      </c>
      <c r="H45" s="31" t="s">
        <v>221</v>
      </c>
      <c r="I45" s="61" t="s">
        <v>1097</v>
      </c>
      <c r="J45" s="29">
        <v>0.16800000000000001</v>
      </c>
      <c r="K45" s="29">
        <v>0.54200000000000004</v>
      </c>
      <c r="L45" s="465" t="s">
        <v>1106</v>
      </c>
      <c r="M45" s="59" t="s">
        <v>1120</v>
      </c>
      <c r="N45" s="59" t="s">
        <v>110</v>
      </c>
      <c r="O45" s="448" t="s">
        <v>110</v>
      </c>
    </row>
    <row r="46" spans="1:15" s="467" customFormat="1" ht="72" x14ac:dyDescent="0.2">
      <c r="A46" s="27" t="s">
        <v>882</v>
      </c>
      <c r="B46" s="466" t="s">
        <v>947</v>
      </c>
      <c r="C46" s="146" t="s">
        <v>112</v>
      </c>
      <c r="D46" s="146" t="s">
        <v>948</v>
      </c>
      <c r="E46" s="146" t="s">
        <v>1087</v>
      </c>
      <c r="F46" s="146">
        <v>6</v>
      </c>
      <c r="G46" s="530" t="s">
        <v>1092</v>
      </c>
      <c r="H46" s="531"/>
      <c r="I46" s="149" t="s">
        <v>1098</v>
      </c>
      <c r="J46" s="148">
        <v>0.24</v>
      </c>
      <c r="K46" s="148" t="s">
        <v>949</v>
      </c>
      <c r="L46" s="67" t="str">
        <f>"Earnings up to EUR 378 per month ("&amp;TEXT(378*12/'Average wages'!B41,"0%")&amp;" of AW) permitted but only if a person works outside normal working hours"</f>
        <v>Earnings up to EUR 378 per month (20% of AW) permitted but only if a person works outside normal working hours</v>
      </c>
      <c r="M46" s="146" t="s">
        <v>950</v>
      </c>
      <c r="N46" s="146" t="s">
        <v>1139</v>
      </c>
      <c r="O46" s="149" t="s">
        <v>110</v>
      </c>
    </row>
    <row r="47" spans="1:15" ht="180" x14ac:dyDescent="0.2">
      <c r="A47" s="27" t="s">
        <v>95</v>
      </c>
      <c r="B47" s="68" t="s">
        <v>222</v>
      </c>
      <c r="C47" s="64" t="s">
        <v>112</v>
      </c>
      <c r="D47" s="64" t="s">
        <v>177</v>
      </c>
      <c r="E47" s="64">
        <v>0</v>
      </c>
      <c r="F47" s="64">
        <v>9</v>
      </c>
      <c r="G47" s="65" t="s">
        <v>1093</v>
      </c>
      <c r="H47" s="95" t="s">
        <v>1094</v>
      </c>
      <c r="I47" s="66" t="s">
        <v>116</v>
      </c>
      <c r="J47" s="464" t="s">
        <v>119</v>
      </c>
      <c r="K47" s="464" t="s">
        <v>119</v>
      </c>
      <c r="L47" s="70" t="s">
        <v>136</v>
      </c>
      <c r="M47" s="454" t="s">
        <v>1095</v>
      </c>
      <c r="N47" s="454" t="s">
        <v>110</v>
      </c>
      <c r="O47" s="453" t="s">
        <v>110</v>
      </c>
    </row>
    <row r="48" spans="1:15" ht="108" x14ac:dyDescent="0.2">
      <c r="A48" s="34" t="s">
        <v>96</v>
      </c>
      <c r="B48" s="77" t="s">
        <v>178</v>
      </c>
      <c r="C48" s="59" t="s">
        <v>112</v>
      </c>
      <c r="D48" s="59" t="s">
        <v>179</v>
      </c>
      <c r="E48" s="454" t="s">
        <v>1086</v>
      </c>
      <c r="F48" s="59">
        <v>6</v>
      </c>
      <c r="G48" s="78" t="s">
        <v>958</v>
      </c>
      <c r="H48" s="85" t="s">
        <v>959</v>
      </c>
      <c r="I48" s="61" t="s">
        <v>116</v>
      </c>
      <c r="J48" s="29">
        <v>0.15</v>
      </c>
      <c r="K48" s="29">
        <v>0.28000000000000003</v>
      </c>
      <c r="L48" s="80" t="s">
        <v>136</v>
      </c>
      <c r="M48" s="59" t="s">
        <v>1121</v>
      </c>
      <c r="N48" s="59" t="s">
        <v>110</v>
      </c>
      <c r="O48" s="448" t="s">
        <v>110</v>
      </c>
    </row>
    <row r="49" spans="1:15" ht="96" x14ac:dyDescent="0.2">
      <c r="A49" s="27" t="s">
        <v>1141</v>
      </c>
      <c r="B49" s="82" t="s">
        <v>871</v>
      </c>
      <c r="C49" s="73" t="s">
        <v>112</v>
      </c>
      <c r="D49" s="73" t="s">
        <v>180</v>
      </c>
      <c r="E49" s="73">
        <v>0</v>
      </c>
      <c r="F49" s="73" t="s">
        <v>1088</v>
      </c>
      <c r="G49" s="534" t="str">
        <f>"Unemployment benefit: Flat rate of EUR 7.72/day ("&amp;TEXT(7.72*6*52/'Average wages'!B43,"0%")&amp;" of AW)
Special unemployment benefit: Flat rate of EUR 12.94/day ("&amp;TEXT(12.94*6*52/'Average wages'!B43,"0%")&amp;" of AW)"</f>
        <v>Unemployment benefit: Flat rate of EUR 7.72/day (12% of AW)
Special unemployment benefit: Flat rate of EUR 12.94/day (20% of AW)</v>
      </c>
      <c r="H49" s="535"/>
      <c r="I49" s="74" t="s">
        <v>110</v>
      </c>
      <c r="J49" s="72">
        <v>0.11637400228050171</v>
      </c>
      <c r="K49" s="72">
        <v>0.19503420752565565</v>
      </c>
      <c r="L49" s="76" t="str">
        <f>"Unemployment Benefit: none permitted
Special Unemployment Benefit: benefit stops if earnings exceed EUR 4105 ("&amp;TEXT(4105/'Average wages'!B43,"0%")&amp;" of AW), 100% withdrawal rate below threshold"</f>
        <v>Unemployment Benefit: none permitted
Special Unemployment Benefit: benefit stops if earnings exceed EUR 4105 (20% of AW), 100% withdrawal rate below threshold</v>
      </c>
      <c r="M49" s="73" t="s">
        <v>110</v>
      </c>
      <c r="N49" s="73" t="s">
        <v>1140</v>
      </c>
      <c r="O49" s="74" t="s">
        <v>1148</v>
      </c>
    </row>
    <row r="50" spans="1:15" ht="24" x14ac:dyDescent="0.2">
      <c r="A50" s="34" t="s">
        <v>97</v>
      </c>
      <c r="B50" s="71" t="s">
        <v>224</v>
      </c>
      <c r="C50" s="73" t="s">
        <v>112</v>
      </c>
      <c r="D50" s="73" t="s">
        <v>181</v>
      </c>
      <c r="E50" s="73">
        <v>0</v>
      </c>
      <c r="F50" s="73">
        <v>12</v>
      </c>
      <c r="G50" s="534" t="str">
        <f>"Flat rate of RON 375/month ("&amp;TEXT(375*12/'Average wages'!B44,"0%")&amp;" of AW) plus 10% of reference earnings"</f>
        <v>Flat rate of RON 375/month (16% of AW) plus 10% of reference earnings</v>
      </c>
      <c r="H50" s="535"/>
      <c r="I50" s="74" t="s">
        <v>116</v>
      </c>
      <c r="J50" s="72">
        <v>0.17425650557620817</v>
      </c>
      <c r="K50" s="72" t="s">
        <v>119</v>
      </c>
      <c r="L50" s="76" t="s">
        <v>1107</v>
      </c>
      <c r="M50" s="73" t="s">
        <v>110</v>
      </c>
      <c r="N50" s="73" t="s">
        <v>110</v>
      </c>
      <c r="O50" s="74" t="s">
        <v>110</v>
      </c>
    </row>
    <row r="51" spans="1:15" x14ac:dyDescent="0.2">
      <c r="A51" s="46"/>
      <c r="B51" s="46"/>
      <c r="C51" s="46"/>
      <c r="D51" s="46"/>
      <c r="E51" s="46"/>
      <c r="F51" s="46"/>
      <c r="G51" s="46"/>
      <c r="H51" s="46"/>
      <c r="I51" s="46"/>
      <c r="J51" s="46"/>
      <c r="K51" s="46"/>
      <c r="L51" s="46"/>
      <c r="M51" s="46"/>
      <c r="N51" s="46"/>
      <c r="O51" s="46"/>
    </row>
    <row r="52" spans="1:15" x14ac:dyDescent="0.2">
      <c r="A52" s="47" t="s">
        <v>98</v>
      </c>
      <c r="B52" s="46"/>
      <c r="C52" s="46"/>
      <c r="D52" s="46"/>
      <c r="E52" s="46"/>
      <c r="F52" s="46"/>
      <c r="G52" s="46"/>
      <c r="H52" s="46"/>
      <c r="I52" s="46"/>
      <c r="J52" s="46"/>
      <c r="K52" s="46"/>
      <c r="L52" s="46"/>
      <c r="M52" s="46"/>
      <c r="N52" s="46"/>
      <c r="O52" s="46"/>
    </row>
    <row r="53" spans="1:15" x14ac:dyDescent="0.2">
      <c r="A53" s="46" t="s">
        <v>99</v>
      </c>
      <c r="B53" s="46"/>
      <c r="C53" s="46"/>
      <c r="D53" s="46"/>
      <c r="E53" s="46"/>
      <c r="F53" s="46"/>
      <c r="G53" s="46"/>
      <c r="H53" s="46"/>
      <c r="I53" s="46"/>
      <c r="J53" s="46"/>
      <c r="K53" s="46"/>
      <c r="L53" s="46"/>
      <c r="M53" s="46"/>
      <c r="N53" s="46"/>
      <c r="O53" s="46"/>
    </row>
    <row r="54" spans="1:15" x14ac:dyDescent="0.2">
      <c r="A54" s="36" t="s">
        <v>100</v>
      </c>
      <c r="B54" s="46"/>
      <c r="C54" s="46"/>
      <c r="D54" s="46"/>
      <c r="E54" s="46"/>
      <c r="F54" s="46"/>
      <c r="G54" s="46"/>
      <c r="H54" s="46"/>
      <c r="I54" s="46"/>
      <c r="J54" s="46"/>
      <c r="K54" s="46"/>
      <c r="L54" s="46"/>
      <c r="M54" s="46"/>
      <c r="N54" s="46"/>
      <c r="O54" s="46"/>
    </row>
    <row r="55" spans="1:15" x14ac:dyDescent="0.2">
      <c r="A55" s="48" t="s">
        <v>101</v>
      </c>
      <c r="B55" s="46"/>
      <c r="C55" s="46"/>
      <c r="D55" s="46"/>
      <c r="E55" s="46"/>
      <c r="F55" s="46"/>
      <c r="G55" s="46"/>
      <c r="H55" s="46"/>
      <c r="I55" s="46"/>
      <c r="J55" s="46"/>
      <c r="K55" s="46"/>
      <c r="L55" s="46"/>
      <c r="M55" s="46"/>
      <c r="N55" s="46"/>
      <c r="O55" s="46"/>
    </row>
    <row r="56" spans="1:15" x14ac:dyDescent="0.2">
      <c r="A56" s="36" t="s">
        <v>102</v>
      </c>
      <c r="B56" s="46"/>
      <c r="C56" s="46"/>
      <c r="D56" s="46"/>
      <c r="E56" s="46"/>
      <c r="F56" s="46"/>
      <c r="G56" s="46"/>
      <c r="H56" s="46"/>
      <c r="I56" s="46"/>
      <c r="J56" s="46"/>
      <c r="K56" s="46"/>
      <c r="L56" s="46"/>
      <c r="M56" s="46"/>
      <c r="N56" s="46"/>
      <c r="O56" s="46"/>
    </row>
    <row r="57" spans="1:15" x14ac:dyDescent="0.2">
      <c r="A57" s="38" t="s">
        <v>103</v>
      </c>
      <c r="B57" s="46"/>
      <c r="C57" s="46"/>
      <c r="D57" s="46"/>
      <c r="E57" s="46"/>
      <c r="F57" s="46"/>
      <c r="G57" s="46"/>
      <c r="H57" s="46"/>
      <c r="I57" s="46"/>
      <c r="J57" s="46"/>
      <c r="K57" s="46"/>
      <c r="L57" s="46"/>
      <c r="M57" s="46"/>
      <c r="N57" s="46"/>
      <c r="O57" s="46"/>
    </row>
    <row r="58" spans="1:15" x14ac:dyDescent="0.2">
      <c r="A58" s="36" t="s">
        <v>104</v>
      </c>
      <c r="B58" s="46"/>
      <c r="C58" s="46"/>
      <c r="D58" s="46"/>
      <c r="E58" s="46"/>
      <c r="F58" s="46"/>
      <c r="G58" s="46"/>
      <c r="H58" s="46"/>
      <c r="I58" s="46"/>
      <c r="J58" s="46"/>
      <c r="K58" s="46"/>
      <c r="L58" s="46"/>
      <c r="M58" s="46"/>
      <c r="N58" s="46"/>
      <c r="O58" s="46"/>
    </row>
    <row r="59" spans="1:15" x14ac:dyDescent="0.2">
      <c r="A59" s="36" t="s">
        <v>105</v>
      </c>
      <c r="B59" s="39"/>
      <c r="C59" s="39"/>
      <c r="D59" s="46"/>
      <c r="E59" s="46"/>
      <c r="F59" s="46"/>
      <c r="G59" s="46"/>
      <c r="H59" s="46"/>
      <c r="I59" s="46"/>
      <c r="J59" s="40"/>
      <c r="K59" s="40"/>
      <c r="L59" s="40"/>
      <c r="M59" s="40"/>
      <c r="N59" s="40"/>
      <c r="O59" s="40"/>
    </row>
    <row r="60" spans="1:15" x14ac:dyDescent="0.2">
      <c r="A60" s="36" t="s">
        <v>1023</v>
      </c>
      <c r="B60" s="36"/>
      <c r="C60" s="36"/>
      <c r="D60" s="46"/>
      <c r="E60" s="46"/>
      <c r="F60" s="46"/>
      <c r="G60" s="46"/>
      <c r="H60" s="46"/>
      <c r="I60" s="46"/>
      <c r="J60" s="40"/>
      <c r="K60" s="40"/>
      <c r="L60" s="40"/>
      <c r="M60" s="40"/>
      <c r="N60" s="40"/>
      <c r="O60" s="40"/>
    </row>
    <row r="61" spans="1:15" x14ac:dyDescent="0.2">
      <c r="A61" s="36"/>
      <c r="B61" s="50" t="s">
        <v>10</v>
      </c>
      <c r="C61" s="38"/>
      <c r="D61" s="41"/>
      <c r="E61" s="41"/>
      <c r="F61" s="41"/>
      <c r="G61" s="41"/>
      <c r="H61" s="41"/>
      <c r="I61" s="41"/>
      <c r="J61" s="41"/>
      <c r="K61" s="41"/>
      <c r="L61" s="41"/>
      <c r="M61" s="41"/>
      <c r="N61" s="41"/>
      <c r="O61" s="41"/>
    </row>
    <row r="62" spans="1:15" x14ac:dyDescent="0.2">
      <c r="A62" s="49" t="s">
        <v>182</v>
      </c>
    </row>
  </sheetData>
  <mergeCells count="37">
    <mergeCell ref="G32:H32"/>
    <mergeCell ref="G44:H44"/>
    <mergeCell ref="G49:H49"/>
    <mergeCell ref="G50:H50"/>
    <mergeCell ref="G35:H35"/>
    <mergeCell ref="G40:H40"/>
    <mergeCell ref="G41:H41"/>
    <mergeCell ref="G46:H46"/>
    <mergeCell ref="G42:H42"/>
    <mergeCell ref="G39:H39"/>
    <mergeCell ref="G30:H30"/>
    <mergeCell ref="G14:H14"/>
    <mergeCell ref="G17:H17"/>
    <mergeCell ref="G19:H19"/>
    <mergeCell ref="G20:H20"/>
    <mergeCell ref="G22:H22"/>
    <mergeCell ref="G23:H23"/>
    <mergeCell ref="G25:H25"/>
    <mergeCell ref="G28:H28"/>
    <mergeCell ref="G29:H29"/>
    <mergeCell ref="G21:H21"/>
    <mergeCell ref="G26:H26"/>
    <mergeCell ref="G12:H12"/>
    <mergeCell ref="A1:O1"/>
    <mergeCell ref="A2:O2"/>
    <mergeCell ref="A3:O3"/>
    <mergeCell ref="B7:B9"/>
    <mergeCell ref="C7:C9"/>
    <mergeCell ref="D7:D9"/>
    <mergeCell ref="E7:E9"/>
    <mergeCell ref="F7:F9"/>
    <mergeCell ref="G7:L7"/>
    <mergeCell ref="M7:O8"/>
    <mergeCell ref="G8:G9"/>
    <mergeCell ref="H8:H9"/>
    <mergeCell ref="I8:I9"/>
    <mergeCell ref="L8:L9"/>
  </mergeCells>
  <hyperlinks>
    <hyperlink ref="B61"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40"/>
  <sheetViews>
    <sheetView zoomScale="90" zoomScaleNormal="90" workbookViewId="0">
      <pane xSplit="1" ySplit="11" topLeftCell="B12" activePane="bottomRight" state="frozen"/>
      <selection pane="topRight" activeCell="B1" sqref="B1"/>
      <selection pane="bottomLeft" activeCell="A12" sqref="A12"/>
      <selection pane="bottomRight" activeCell="J26" sqref="J26"/>
    </sheetView>
  </sheetViews>
  <sheetFormatPr defaultRowHeight="12.75" x14ac:dyDescent="0.2"/>
  <cols>
    <col min="1" max="1" width="17.5703125" bestFit="1" customWidth="1"/>
    <col min="2" max="2" width="33" bestFit="1" customWidth="1"/>
    <col min="3" max="3" width="26.140625" customWidth="1"/>
    <col min="4" max="4" width="14.42578125" customWidth="1"/>
    <col min="5" max="5" width="17.28515625" customWidth="1"/>
    <col min="6" max="6" width="13.140625" customWidth="1"/>
    <col min="7" max="7" width="18.85546875" customWidth="1"/>
    <col min="8" max="8" width="11.42578125" customWidth="1"/>
    <col min="9" max="10" width="14.140625" customWidth="1"/>
    <col min="11" max="11" width="42" customWidth="1"/>
    <col min="12" max="12" width="15.140625" bestFit="1" customWidth="1"/>
    <col min="13" max="13" width="16.5703125" bestFit="1" customWidth="1"/>
    <col min="14" max="14" width="16.28515625" bestFit="1" customWidth="1"/>
  </cols>
  <sheetData>
    <row r="1" spans="1:14" ht="18" x14ac:dyDescent="0.25">
      <c r="A1" s="516" t="s">
        <v>272</v>
      </c>
      <c r="B1" s="517"/>
      <c r="C1" s="517"/>
      <c r="D1" s="517"/>
      <c r="E1" s="517"/>
      <c r="F1" s="517"/>
      <c r="G1" s="517"/>
      <c r="H1" s="517"/>
      <c r="I1" s="517"/>
      <c r="J1" s="517"/>
      <c r="K1" s="517"/>
      <c r="L1" s="517"/>
      <c r="M1" s="517"/>
      <c r="N1" s="517"/>
    </row>
    <row r="2" spans="1:14" ht="18" x14ac:dyDescent="0.25">
      <c r="A2" s="516">
        <v>2014</v>
      </c>
      <c r="B2" s="516"/>
      <c r="C2" s="516"/>
      <c r="D2" s="516"/>
      <c r="E2" s="516"/>
      <c r="F2" s="516"/>
      <c r="G2" s="516"/>
      <c r="H2" s="516"/>
      <c r="I2" s="516"/>
      <c r="J2" s="516"/>
      <c r="K2" s="516"/>
      <c r="L2" s="516"/>
      <c r="M2" s="516"/>
      <c r="N2" s="516"/>
    </row>
    <row r="3" spans="1:14" x14ac:dyDescent="0.2">
      <c r="A3" s="518" t="s">
        <v>273</v>
      </c>
      <c r="B3" s="518"/>
      <c r="C3" s="518"/>
      <c r="D3" s="518"/>
      <c r="E3" s="518"/>
      <c r="F3" s="518"/>
      <c r="G3" s="518"/>
      <c r="H3" s="518"/>
      <c r="I3" s="518"/>
      <c r="J3" s="518"/>
      <c r="K3" s="518"/>
      <c r="L3" s="518"/>
      <c r="M3" s="518"/>
      <c r="N3" s="518"/>
    </row>
    <row r="5" spans="1:14" ht="12" hidden="1" customHeight="1" x14ac:dyDescent="0.2">
      <c r="A5" s="45" t="s">
        <v>9</v>
      </c>
      <c r="B5" s="45" t="s">
        <v>12</v>
      </c>
      <c r="C5" s="45" t="s">
        <v>12</v>
      </c>
      <c r="D5" s="45" t="s">
        <v>12</v>
      </c>
      <c r="E5" s="45" t="s">
        <v>12</v>
      </c>
      <c r="F5" s="45" t="s">
        <v>12</v>
      </c>
      <c r="G5" s="45" t="s">
        <v>12</v>
      </c>
      <c r="H5" s="45" t="s">
        <v>12</v>
      </c>
      <c r="I5" s="45" t="s">
        <v>13</v>
      </c>
      <c r="J5" s="45" t="s">
        <v>13</v>
      </c>
      <c r="K5" s="45" t="s">
        <v>12</v>
      </c>
      <c r="L5" s="45" t="s">
        <v>12</v>
      </c>
      <c r="M5" s="45" t="s">
        <v>12</v>
      </c>
      <c r="N5" s="45" t="s">
        <v>12</v>
      </c>
    </row>
    <row r="6" spans="1:14" hidden="1" x14ac:dyDescent="0.2">
      <c r="A6" s="7" t="s">
        <v>14</v>
      </c>
      <c r="B6" s="101" t="s">
        <v>229</v>
      </c>
      <c r="C6" s="9" t="s">
        <v>230</v>
      </c>
      <c r="D6" s="9" t="s">
        <v>231</v>
      </c>
      <c r="E6" s="9" t="s">
        <v>232</v>
      </c>
      <c r="F6" s="9" t="s">
        <v>233</v>
      </c>
      <c r="G6" s="11" t="s">
        <v>234</v>
      </c>
      <c r="H6" s="11" t="s">
        <v>235</v>
      </c>
      <c r="I6" s="11" t="s">
        <v>236</v>
      </c>
      <c r="J6" s="11" t="s">
        <v>237</v>
      </c>
      <c r="K6" s="11" t="s">
        <v>238</v>
      </c>
      <c r="L6" s="11" t="s">
        <v>239</v>
      </c>
      <c r="M6" s="11" t="s">
        <v>240</v>
      </c>
      <c r="N6" s="11" t="s">
        <v>241</v>
      </c>
    </row>
    <row r="7" spans="1:14" ht="12.75" customHeight="1" x14ac:dyDescent="0.2">
      <c r="A7" s="46"/>
      <c r="B7" s="519" t="s">
        <v>29</v>
      </c>
      <c r="C7" s="521" t="s">
        <v>243</v>
      </c>
      <c r="D7" s="521" t="s">
        <v>32</v>
      </c>
      <c r="E7" s="523" t="s">
        <v>33</v>
      </c>
      <c r="F7" s="525" t="s">
        <v>34</v>
      </c>
      <c r="G7" s="526"/>
      <c r="H7" s="526"/>
      <c r="I7" s="526"/>
      <c r="J7" s="526"/>
      <c r="K7" s="527"/>
      <c r="L7" s="519" t="s">
        <v>35</v>
      </c>
      <c r="M7" s="521"/>
      <c r="N7" s="523"/>
    </row>
    <row r="8" spans="1:14" ht="27" customHeight="1" x14ac:dyDescent="0.2">
      <c r="A8" s="46"/>
      <c r="B8" s="520"/>
      <c r="C8" s="522"/>
      <c r="D8" s="522"/>
      <c r="E8" s="524"/>
      <c r="F8" s="519" t="s">
        <v>245</v>
      </c>
      <c r="G8" s="521" t="s">
        <v>246</v>
      </c>
      <c r="H8" s="523" t="s">
        <v>247</v>
      </c>
      <c r="I8" s="13" t="s">
        <v>39</v>
      </c>
      <c r="J8" s="14" t="s">
        <v>40</v>
      </c>
      <c r="K8" s="528" t="s">
        <v>41</v>
      </c>
      <c r="L8" s="520"/>
      <c r="M8" s="522"/>
      <c r="N8" s="524"/>
    </row>
    <row r="9" spans="1:14" x14ac:dyDescent="0.2">
      <c r="A9" s="46"/>
      <c r="B9" s="520"/>
      <c r="C9" s="522"/>
      <c r="D9" s="522"/>
      <c r="E9" s="524"/>
      <c r="F9" s="520"/>
      <c r="G9" s="522"/>
      <c r="H9" s="524"/>
      <c r="I9" s="16" t="s">
        <v>42</v>
      </c>
      <c r="J9" s="15" t="s">
        <v>42</v>
      </c>
      <c r="K9" s="529"/>
      <c r="L9" s="16" t="s">
        <v>43</v>
      </c>
      <c r="M9" s="15" t="s">
        <v>44</v>
      </c>
      <c r="N9" s="16" t="s">
        <v>45</v>
      </c>
    </row>
    <row r="10" spans="1:14" x14ac:dyDescent="0.2">
      <c r="A10" s="17"/>
      <c r="B10" s="18" t="s">
        <v>46</v>
      </c>
      <c r="C10" s="19" t="s">
        <v>47</v>
      </c>
      <c r="D10" s="19" t="s">
        <v>48</v>
      </c>
      <c r="E10" s="20" t="s">
        <v>49</v>
      </c>
      <c r="F10" s="18" t="s">
        <v>50</v>
      </c>
      <c r="G10" s="19" t="s">
        <v>51</v>
      </c>
      <c r="H10" s="19" t="s">
        <v>52</v>
      </c>
      <c r="I10" s="21" t="s">
        <v>53</v>
      </c>
      <c r="J10" s="21" t="s">
        <v>54</v>
      </c>
      <c r="K10" s="18" t="s">
        <v>55</v>
      </c>
      <c r="L10" s="21" t="s">
        <v>56</v>
      </c>
      <c r="M10" s="21" t="s">
        <v>57</v>
      </c>
      <c r="N10" s="21" t="s">
        <v>59</v>
      </c>
    </row>
    <row r="11" spans="1:14" x14ac:dyDescent="0.2">
      <c r="A11" s="102" t="s">
        <v>60</v>
      </c>
      <c r="B11" s="96"/>
      <c r="C11" s="97"/>
      <c r="D11" s="97"/>
      <c r="E11" s="98"/>
      <c r="F11" s="96"/>
      <c r="G11" s="97"/>
      <c r="H11" s="99"/>
      <c r="I11" s="96"/>
      <c r="J11" s="98"/>
      <c r="K11" s="97"/>
      <c r="L11" s="96"/>
      <c r="M11" s="97"/>
      <c r="N11" s="100"/>
    </row>
    <row r="12" spans="1:14" ht="156" x14ac:dyDescent="0.2">
      <c r="A12" s="27" t="s">
        <v>248</v>
      </c>
      <c r="B12" s="63" t="s">
        <v>1149</v>
      </c>
      <c r="C12" s="64" t="s">
        <v>110</v>
      </c>
      <c r="D12" s="64">
        <v>7</v>
      </c>
      <c r="E12" s="66" t="s">
        <v>249</v>
      </c>
      <c r="F12" s="530" t="s">
        <v>1164</v>
      </c>
      <c r="G12" s="536"/>
      <c r="H12" s="64" t="s">
        <v>110</v>
      </c>
      <c r="I12" s="65" t="s">
        <v>110</v>
      </c>
      <c r="J12" s="95" t="str">
        <f>"Flat rate of "&amp;TEXT(((510.5+8.7)*26+107.8*2)/'Average wages'!B4,"0%")&amp;" including energy supplement and Income Support Bonus"</f>
        <v>Flat rate of 17% including energy supplement and Income Support Bonus</v>
      </c>
      <c r="K12" s="28" t="str">
        <f>"Income disregard of AUD 100 per fortnight ("&amp;TEXT(100*26/'Average wages'!B4,"0%")&amp;" of AW), 50% withdrawal rate beyond this point up to AUD 250 ("&amp;TEXT(250*26/'Average wages'!B4,"0%")&amp;" of AW), 60% withdrawal rate thereafter"</f>
        <v>Income disregard of AUD 100 per fortnight (3% of AW), 50% withdrawal rate beyond this point up to AUD 250 (8% of AW), 60% withdrawal rate thereafter</v>
      </c>
      <c r="L12" s="104" t="s">
        <v>1186</v>
      </c>
      <c r="M12" s="103" t="s">
        <v>1187</v>
      </c>
      <c r="N12" s="105" t="s">
        <v>110</v>
      </c>
    </row>
    <row r="13" spans="1:14" ht="72" x14ac:dyDescent="0.2">
      <c r="A13" s="27" t="s">
        <v>61</v>
      </c>
      <c r="B13" s="68" t="s">
        <v>922</v>
      </c>
      <c r="C13" s="454" t="s">
        <v>923</v>
      </c>
      <c r="D13" s="454">
        <v>0</v>
      </c>
      <c r="E13" s="453" t="s">
        <v>249</v>
      </c>
      <c r="F13" s="464">
        <v>0.92</v>
      </c>
      <c r="G13" s="464">
        <v>0.92</v>
      </c>
      <c r="H13" s="454" t="s">
        <v>924</v>
      </c>
      <c r="I13" s="460" t="s">
        <v>110</v>
      </c>
      <c r="J13" s="95">
        <f>0.92*48.02*30*12/'Average wages'!B5</f>
        <v>0.37147554576636194</v>
      </c>
      <c r="K13" s="464" t="str">
        <f>"No reduction for earnings up to EUR 395.31 per month ("&amp;TEXT(100*395.31*12/'Average wages'!B5,0)&amp;"% of AW), benefit fully withdrawn if earnings exceed this level"</f>
        <v>No reduction for earnings up to EUR 395.31 per month (11% of AW), benefit fully withdrawn if earnings exceed this level</v>
      </c>
      <c r="L13" s="459" t="s">
        <v>925</v>
      </c>
      <c r="M13" s="103" t="s">
        <v>1177</v>
      </c>
      <c r="N13" s="105" t="s">
        <v>926</v>
      </c>
    </row>
    <row r="14" spans="1:14" ht="108" x14ac:dyDescent="0.2">
      <c r="A14" s="34" t="s">
        <v>64</v>
      </c>
      <c r="B14" s="63" t="s">
        <v>250</v>
      </c>
      <c r="C14" s="454" t="s">
        <v>1157</v>
      </c>
      <c r="D14" s="454">
        <v>0</v>
      </c>
      <c r="E14" s="453" t="s">
        <v>1158</v>
      </c>
      <c r="F14" s="464" t="s">
        <v>251</v>
      </c>
      <c r="G14" s="464" t="s">
        <v>252</v>
      </c>
      <c r="H14" s="454" t="s">
        <v>110</v>
      </c>
      <c r="I14" s="460">
        <v>0.10777692935593577</v>
      </c>
      <c r="J14" s="95" t="s">
        <v>253</v>
      </c>
      <c r="K14" s="464" t="s">
        <v>136</v>
      </c>
      <c r="L14" s="104" t="s">
        <v>110</v>
      </c>
      <c r="M14" s="103" t="s">
        <v>110</v>
      </c>
      <c r="N14" s="105" t="s">
        <v>110</v>
      </c>
    </row>
    <row r="15" spans="1:14" ht="48" x14ac:dyDescent="0.2">
      <c r="A15" s="27" t="s">
        <v>67</v>
      </c>
      <c r="B15" s="69" t="s">
        <v>254</v>
      </c>
      <c r="C15" s="59" t="s">
        <v>985</v>
      </c>
      <c r="D15" s="59">
        <v>7</v>
      </c>
      <c r="E15" s="448" t="s">
        <v>255</v>
      </c>
      <c r="F15" s="530" t="s">
        <v>1160</v>
      </c>
      <c r="G15" s="536"/>
      <c r="H15" s="59" t="s">
        <v>110</v>
      </c>
      <c r="I15" s="60" t="s">
        <v>110</v>
      </c>
      <c r="J15" s="31" t="str">
        <f>"Flat rate of "&amp;TEXT(112.22*12/'Average wages'!B11,"0%")</f>
        <v>Flat rate of 11%</v>
      </c>
      <c r="K15" s="29" t="s">
        <v>136</v>
      </c>
      <c r="L15" s="106" t="s">
        <v>110</v>
      </c>
      <c r="M15" s="29" t="s">
        <v>110</v>
      </c>
      <c r="N15" s="31" t="s">
        <v>110</v>
      </c>
    </row>
    <row r="16" spans="1:14" ht="108" x14ac:dyDescent="0.2">
      <c r="A16" s="34" t="s">
        <v>68</v>
      </c>
      <c r="B16" s="68" t="s">
        <v>256</v>
      </c>
      <c r="C16" s="454" t="s">
        <v>153</v>
      </c>
      <c r="D16" s="454">
        <v>5</v>
      </c>
      <c r="E16" s="453" t="s">
        <v>249</v>
      </c>
      <c r="F16" s="530" t="s">
        <v>1161</v>
      </c>
      <c r="G16" s="536"/>
      <c r="H16" s="454" t="s">
        <v>110</v>
      </c>
      <c r="I16" s="460" t="s">
        <v>110</v>
      </c>
      <c r="J16" s="95" t="str">
        <f>"Flat rate of "&amp;TEXT(32.66*5*52/'Average wages'!B12,"0%")</f>
        <v>Flat rate of 20%</v>
      </c>
      <c r="K16" s="470" t="str">
        <f>"For part-time work (&lt; 80% of full-time): benefit reduced by 50% of current earnings exceeding EUR 300 per month ("&amp;TEXT(300*12/'Average wages'!B12,"0%")&amp;" of AW) and total income (benefit + earnings) cannot exceed 100% of reference earnings
Full-time work not permitted"</f>
        <v>For part-time work (&lt; 80% of full-time): benefit reduced by 50% of current earnings exceeding EUR 300 per month (8% of AW) and total income (benefit + earnings) cannot exceed 100% of reference earnings
Full-time work not permitted</v>
      </c>
      <c r="L16" s="104" t="s">
        <v>1174</v>
      </c>
      <c r="M16" s="454" t="s">
        <v>1178</v>
      </c>
      <c r="N16" s="95" t="s">
        <v>1189</v>
      </c>
    </row>
    <row r="17" spans="1:14" ht="84" x14ac:dyDescent="0.2">
      <c r="A17" s="27" t="s">
        <v>69</v>
      </c>
      <c r="B17" s="58" t="s">
        <v>276</v>
      </c>
      <c r="C17" s="59" t="s">
        <v>258</v>
      </c>
      <c r="D17" s="59">
        <v>0</v>
      </c>
      <c r="E17" s="448" t="s">
        <v>249</v>
      </c>
      <c r="F17" s="530" t="s">
        <v>1163</v>
      </c>
      <c r="G17" s="536"/>
      <c r="H17" s="59" t="s">
        <v>110</v>
      </c>
      <c r="I17" s="60" t="s">
        <v>110</v>
      </c>
      <c r="J17" s="31" t="str">
        <f>"Flat rate of "&amp;TEXT(16.11*365/'Average wages'!B13,"0%")</f>
        <v>Flat rate of 16%</v>
      </c>
      <c r="K17" s="29" t="str">
        <f>"EUR 664.40 net per month (EUR 1288.80) for a single (couple) exempted ("&amp;TEXT(664.4*12/'Average wages'!B13,"0%")&amp;"/"&amp;TEXT(1288.8*12/'Average wages'!B13,"0%")&amp;" of AW), benefit withdrawal staggered between this point and EUR 1127.70 (EUR1772.10) depending on work hours ("&amp;TEXT(1127.7*12/'Average wages'!B13,"0%")&amp;"/"&amp;TEXT(1172.1*12/'Average wages'!B13,"0%")&amp;" of AW), see table on employment conditional benefits for more information"</f>
        <v>EUR 664.40 net per month (EUR 1288.80) for a single (couple) exempted (21%/42% of AW), benefit withdrawal staggered between this point and EUR 1127.70 (EUR1772.10) depending on work hours (36%/38% of AW), see table on employment conditional benefits for more information</v>
      </c>
      <c r="L17" s="106" t="s">
        <v>110</v>
      </c>
      <c r="M17" s="29" t="s">
        <v>110</v>
      </c>
      <c r="N17" s="31" t="s">
        <v>110</v>
      </c>
    </row>
    <row r="18" spans="1:14" ht="204" x14ac:dyDescent="0.2">
      <c r="A18" s="27" t="s">
        <v>259</v>
      </c>
      <c r="B18" s="63" t="s">
        <v>900</v>
      </c>
      <c r="C18" s="454" t="s">
        <v>153</v>
      </c>
      <c r="D18" s="454">
        <v>0</v>
      </c>
      <c r="E18" s="453" t="s">
        <v>249</v>
      </c>
      <c r="F18" s="530" t="s">
        <v>1162</v>
      </c>
      <c r="G18" s="536"/>
      <c r="H18" s="454" t="s">
        <v>110</v>
      </c>
      <c r="I18" s="460" t="s">
        <v>110</v>
      </c>
      <c r="J18" s="95" t="str">
        <f>"Flat rate of "&amp;TEXT(100*391*12/'Average wages'!B14,0)&amp;"%"</f>
        <v>Flat rate of 10%</v>
      </c>
      <c r="K18" s="464" t="str">
        <f>"EUR100/month ("&amp;TEXT(100*12/'Average wages'!B14,"0%")&amp;" of AW) of gross income disregarded
80% withdrawal rate beyond this point up to EUR1000/month ("&amp;TEXT(100*1000*12/'Average wages'!B14,0)&amp;"% of AW)
90% withdrawal rate from this point up to EUR1200/month ("&amp;TEXT(100*1200*12/'Average wages'!B14,0)&amp;"% of AW) 
100% withdrawal rate above EUR 1200/month"</f>
        <v>EUR100/month (3% of AW) of gross income disregarded
80% withdrawal rate beyond this point up to EUR1000/month (26% of AW)
90% withdrawal rate from this point up to EUR1200/month (31% of AW) 
100% withdrawal rate above EUR 1200/month</v>
      </c>
      <c r="L18" s="459" t="s">
        <v>110</v>
      </c>
      <c r="M18" s="464" t="s">
        <v>1188</v>
      </c>
      <c r="N18" s="95" t="s">
        <v>110</v>
      </c>
    </row>
    <row r="19" spans="1:14" ht="72" x14ac:dyDescent="0.2">
      <c r="A19" s="30" t="s">
        <v>71</v>
      </c>
      <c r="B19" s="58" t="s">
        <v>1150</v>
      </c>
      <c r="C19" s="59" t="s">
        <v>1156</v>
      </c>
      <c r="D19" s="59" t="s">
        <v>120</v>
      </c>
      <c r="E19" s="448">
        <v>5</v>
      </c>
      <c r="F19" s="537" t="s">
        <v>1165</v>
      </c>
      <c r="G19" s="538"/>
      <c r="H19" s="59" t="s">
        <v>110</v>
      </c>
      <c r="I19" s="60" t="s">
        <v>110</v>
      </c>
      <c r="J19" s="31" t="str">
        <f>"Flat rate of "&amp;TEXT(73.37*12/'Average wages'!B15,"0%")</f>
        <v>Flat rate of 4%</v>
      </c>
      <c r="K19" s="29" t="s">
        <v>1172</v>
      </c>
      <c r="L19" s="106" t="s">
        <v>110</v>
      </c>
      <c r="M19" s="29" t="str">
        <f>"G: + supplement of EUR 5.87 per month for a dependent spouse or child ("&amp;TEXT(5.87*12/'Average wages'!B15,"0.00%")&amp;" of AW)"</f>
        <v>G: + supplement of EUR 5.87 per month for a dependent spouse or child (0.33% of AW)</v>
      </c>
      <c r="N19" s="31" t="s">
        <v>110</v>
      </c>
    </row>
    <row r="20" spans="1:14" ht="72" x14ac:dyDescent="0.2">
      <c r="A20" s="306"/>
      <c r="B20" s="59" t="s">
        <v>1151</v>
      </c>
      <c r="C20" s="59" t="s">
        <v>1154</v>
      </c>
      <c r="D20" s="59" t="s">
        <v>120</v>
      </c>
      <c r="E20" s="448">
        <v>12</v>
      </c>
      <c r="F20" s="539" t="s">
        <v>1166</v>
      </c>
      <c r="G20" s="540"/>
      <c r="H20" s="59" t="s">
        <v>110</v>
      </c>
      <c r="I20" s="60" t="s">
        <v>110</v>
      </c>
      <c r="J20" s="31" t="str">
        <f>"Flat rate of "&amp;TEXT(200*12/'Average wages'!B15,"0%")</f>
        <v>Flat rate of 11%</v>
      </c>
      <c r="K20" s="29" t="str">
        <f>"Self employment is not permitted; fully withdrawn if annual family income above EUR 10 000 ("&amp;TEXT(10000/'Average wages'!B15,"0%")&amp;" of AW)"</f>
        <v>Self employment is not permitted; fully withdrawn if annual family income above EUR 10 000 (47% of AW)</v>
      </c>
      <c r="L20" s="106" t="s">
        <v>110</v>
      </c>
      <c r="M20" s="29" t="str">
        <f>"G:+ maximum income level increased by EUR 586 for each dependent child ("&amp;TEXT(586/'Average wages'!B15,"0%")&amp;" of AW)"</f>
        <v>G:+ maximum income level increased by EUR 586 for each dependent child (3% of AW)</v>
      </c>
      <c r="N20" s="31" t="s">
        <v>110</v>
      </c>
    </row>
    <row r="21" spans="1:14" ht="48" x14ac:dyDescent="0.2">
      <c r="A21" s="306"/>
      <c r="B21" s="59" t="s">
        <v>1152</v>
      </c>
      <c r="C21" s="59" t="s">
        <v>1155</v>
      </c>
      <c r="D21" s="59" t="s">
        <v>120</v>
      </c>
      <c r="E21" s="448" t="s">
        <v>1067</v>
      </c>
      <c r="F21" s="539" t="s">
        <v>1068</v>
      </c>
      <c r="G21" s="540"/>
      <c r="H21" s="59" t="s">
        <v>110</v>
      </c>
      <c r="I21" s="60" t="s">
        <v>110</v>
      </c>
      <c r="J21" s="31" t="str">
        <f>"Lump sum of "&amp;TEXT(187.2/'Average wages'!B15,"0%")</f>
        <v>Lump sum of 1%</v>
      </c>
      <c r="K21" s="29" t="str">
        <f>"Self employment is not permitted; fully withdrawn if annual family income above EUR 10 564 ("&amp;TEXT(10564/'Average wages'!B15,"0%")&amp;" of AW)"</f>
        <v>Self employment is not permitted; fully withdrawn if annual family income above EUR 10 564 (50% of AW)</v>
      </c>
      <c r="L21" s="106" t="s">
        <v>110</v>
      </c>
      <c r="M21" s="29" t="s">
        <v>110</v>
      </c>
      <c r="N21" s="31" t="s">
        <v>110</v>
      </c>
    </row>
    <row r="22" spans="1:14" ht="60" x14ac:dyDescent="0.2">
      <c r="A22" s="89"/>
      <c r="B22" s="58" t="s">
        <v>1153</v>
      </c>
      <c r="C22" s="59" t="s">
        <v>1069</v>
      </c>
      <c r="D22" s="59" t="s">
        <v>120</v>
      </c>
      <c r="E22" s="448" t="s">
        <v>1159</v>
      </c>
      <c r="F22" s="543" t="s">
        <v>1070</v>
      </c>
      <c r="G22" s="544"/>
      <c r="H22" s="59" t="s">
        <v>110</v>
      </c>
      <c r="I22" s="60" t="s">
        <v>110</v>
      </c>
      <c r="J22" s="31" t="str">
        <f>"Total: "&amp;TEXT(216*3/'Average wages'!B15,"0%")</f>
        <v>Total: 3%</v>
      </c>
      <c r="K22" s="29" t="str">
        <f>K21</f>
        <v>Self employment is not permitted; fully withdrawn if annual family income above EUR 10 564 (50% of AW)</v>
      </c>
      <c r="L22" s="106" t="s">
        <v>110</v>
      </c>
      <c r="M22" s="29" t="s">
        <v>1179</v>
      </c>
      <c r="N22" s="31" t="s">
        <v>110</v>
      </c>
    </row>
    <row r="23" spans="1:14" ht="72" x14ac:dyDescent="0.2">
      <c r="A23" s="27" t="s">
        <v>74</v>
      </c>
      <c r="B23" s="68" t="s">
        <v>260</v>
      </c>
      <c r="C23" s="454" t="s">
        <v>261</v>
      </c>
      <c r="D23" s="454">
        <v>3</v>
      </c>
      <c r="E23" s="453" t="s">
        <v>249</v>
      </c>
      <c r="F23" s="530" t="s">
        <v>1167</v>
      </c>
      <c r="G23" s="536"/>
      <c r="H23" s="454" t="s">
        <v>110</v>
      </c>
      <c r="I23" s="460" t="s">
        <v>110</v>
      </c>
      <c r="J23" s="95" t="str">
        <f>"Flat rate of "&amp;TEXT(188*52*100/'Average wages'!B18,0)&amp;"%"</f>
        <v>Flat rate of 23%</v>
      </c>
      <c r="K23" s="464" t="str">
        <f>"First EUR 20 of daily wages disregarded up to 3 days per week (maximum "&amp;TEXT(60*52*100/'Average wages'!B18,0)&amp;"% of AW). Benefit reduced by 60% of average net weekly earnings in excess of this amount. Benefit withdrawn if working on more than 3 days in a six-day period excluding Sundays."</f>
        <v>First EUR 20 of daily wages disregarded up to 3 days per week (maximum 7% of AW). Benefit reduced by 60% of average net weekly earnings in excess of this amount. Benefit withdrawn if working on more than 3 days in a six-day period excluding Sundays.</v>
      </c>
      <c r="L23" s="104" t="s">
        <v>110</v>
      </c>
      <c r="M23" s="464" t="s">
        <v>1180</v>
      </c>
      <c r="N23" s="95" t="s">
        <v>110</v>
      </c>
    </row>
    <row r="24" spans="1:14" ht="36" x14ac:dyDescent="0.2">
      <c r="A24" s="27" t="s">
        <v>262</v>
      </c>
      <c r="B24" s="69" t="s">
        <v>1014</v>
      </c>
      <c r="C24" s="59" t="s">
        <v>153</v>
      </c>
      <c r="D24" s="59" t="s">
        <v>120</v>
      </c>
      <c r="E24" s="448" t="s">
        <v>249</v>
      </c>
      <c r="F24" s="530" t="s">
        <v>1168</v>
      </c>
      <c r="G24" s="536"/>
      <c r="H24" s="59" t="s">
        <v>110</v>
      </c>
      <c r="I24" s="60" t="s">
        <v>110</v>
      </c>
      <c r="J24" s="31" t="str">
        <f>"Flat rate of "&amp;TEXT(934.36*13/'Average wages'!B26,"0%")</f>
        <v>Flat rate of 22%</v>
      </c>
      <c r="K24" s="29" t="str">
        <f>"Disregard of NZD 80 per week ("&amp;TEXT(80*52/'Average wages'!B26,"0%")&amp;" of AW), 70% withdrawal rate on gross earnings above this level"</f>
        <v>Disregard of NZD 80 per week (8% of AW), 70% withdrawal rate on gross earnings above this level</v>
      </c>
      <c r="L24" s="106" t="s">
        <v>1175</v>
      </c>
      <c r="M24" s="29" t="s">
        <v>1181</v>
      </c>
      <c r="N24" s="31" t="s">
        <v>110</v>
      </c>
    </row>
    <row r="25" spans="1:14" ht="120" x14ac:dyDescent="0.2">
      <c r="A25" s="34" t="s">
        <v>83</v>
      </c>
      <c r="B25" s="68" t="s">
        <v>264</v>
      </c>
      <c r="C25" s="454" t="s">
        <v>257</v>
      </c>
      <c r="D25" s="454" t="s">
        <v>120</v>
      </c>
      <c r="E25" s="453" t="s">
        <v>887</v>
      </c>
      <c r="F25" s="530">
        <v>0.8</v>
      </c>
      <c r="G25" s="536"/>
      <c r="H25" s="454" t="str">
        <f>"Social support index (Indexante dos Apoios Sociais (IAS): EUR 419.22/month ("&amp;TEXT(100*419.22*12/'Average wages'!B29,0)&amp;"% of AW)"</f>
        <v>Social support index (Indexante dos Apoios Sociais (IAS): EUR 419.22/month (29% of AW)</v>
      </c>
      <c r="I25" s="460" t="s">
        <v>110</v>
      </c>
      <c r="J25" s="95" t="str">
        <f>"Flat rate of "&amp;TEXT(100*419.22*0.8*12/'Average wages'!B29,0)&amp;"%"</f>
        <v>Flat rate of 23%</v>
      </c>
      <c r="K25" s="464" t="s">
        <v>136</v>
      </c>
      <c r="L25" s="460" t="s">
        <v>265</v>
      </c>
      <c r="M25" s="464" t="s">
        <v>1182</v>
      </c>
      <c r="N25" s="95" t="s">
        <v>110</v>
      </c>
    </row>
    <row r="26" spans="1:14" ht="120" x14ac:dyDescent="0.2">
      <c r="A26" s="27" t="s">
        <v>86</v>
      </c>
      <c r="B26" s="69" t="s">
        <v>266</v>
      </c>
      <c r="C26" s="59" t="s">
        <v>267</v>
      </c>
      <c r="D26" s="59" t="s">
        <v>120</v>
      </c>
      <c r="E26" s="448">
        <v>8</v>
      </c>
      <c r="F26" s="530">
        <v>0.8</v>
      </c>
      <c r="G26" s="536"/>
      <c r="H26" s="59" t="str">
        <f>"Indicador Público de Renta de Efectos Múltiples (IPREM), EUR 532.51/month ("&amp;TEXT(532.51*12/'Average wages'!B32,"0%")&amp;" of AW)"</f>
        <v>Indicador Público de Renta de Efectos Múltiples (IPREM), EUR 532.51/month (24% of AW)</v>
      </c>
      <c r="I26" s="60" t="s">
        <v>110</v>
      </c>
      <c r="J26" s="31" t="str">
        <f>"Flat rate of "&amp;TEXT(0.8*532.51*12/'Average wages'!B32,"0%")</f>
        <v>Flat rate of 20%</v>
      </c>
      <c r="K26" s="29" t="s">
        <v>268</v>
      </c>
      <c r="L26" s="60" t="s">
        <v>269</v>
      </c>
      <c r="M26" s="29" t="s">
        <v>1183</v>
      </c>
      <c r="N26" s="31" t="s">
        <v>110</v>
      </c>
    </row>
    <row r="27" spans="1:14" ht="72" x14ac:dyDescent="0.2">
      <c r="A27" s="27" t="s">
        <v>87</v>
      </c>
      <c r="B27" s="68" t="s">
        <v>1013</v>
      </c>
      <c r="C27" s="454" t="s">
        <v>1002</v>
      </c>
      <c r="D27" s="454">
        <v>7</v>
      </c>
      <c r="E27" s="453" t="s">
        <v>1004</v>
      </c>
      <c r="F27" s="530" t="s">
        <v>1169</v>
      </c>
      <c r="G27" s="536"/>
      <c r="H27" s="454" t="s">
        <v>110</v>
      </c>
      <c r="I27" s="460" t="s">
        <v>110</v>
      </c>
      <c r="J27" s="95" t="str">
        <f>"Flat rate of "&amp;TEXT(320*5*52*100/'Average wages'!B33,0)&amp;"%"</f>
        <v>Flat rate of 20%</v>
      </c>
      <c r="K27" s="464" t="s">
        <v>1173</v>
      </c>
      <c r="L27" s="460" t="s">
        <v>1176</v>
      </c>
      <c r="M27" s="464" t="s">
        <v>1003</v>
      </c>
      <c r="N27" s="95" t="s">
        <v>270</v>
      </c>
    </row>
    <row r="28" spans="1:14" ht="84" x14ac:dyDescent="0.2">
      <c r="A28" s="27" t="s">
        <v>90</v>
      </c>
      <c r="B28" s="68" t="s">
        <v>271</v>
      </c>
      <c r="C28" s="454" t="s">
        <v>153</v>
      </c>
      <c r="D28" s="454">
        <v>3</v>
      </c>
      <c r="E28" s="453" t="s">
        <v>249</v>
      </c>
      <c r="F28" s="530" t="s">
        <v>1170</v>
      </c>
      <c r="G28" s="536"/>
      <c r="H28" s="454" t="s">
        <v>110</v>
      </c>
      <c r="I28" s="460" t="s">
        <v>110</v>
      </c>
      <c r="J28" s="95" t="str">
        <f>"Flat rate of "&amp;TEXT(72.4*52*100/'Average wages'!B36,0)&amp;"%"</f>
        <v>Flat rate of 11%</v>
      </c>
      <c r="K28" s="464" t="str">
        <f>'Unemployment Insurance'!L41</f>
        <v>GBP 5/10/20 (0.7/1.5/3.0% of AW) are disregarded per week for a single/couple/lone parent. Earnings reduce benefit one-for-one above this level. Must be working less than 16 hours a week</v>
      </c>
      <c r="L28" s="460" t="s">
        <v>1184</v>
      </c>
      <c r="M28" s="464" t="s">
        <v>110</v>
      </c>
      <c r="N28" s="95" t="s">
        <v>110</v>
      </c>
    </row>
    <row r="29" spans="1:14" x14ac:dyDescent="0.2">
      <c r="A29" s="107" t="s">
        <v>92</v>
      </c>
      <c r="B29" s="107"/>
      <c r="C29" s="108"/>
      <c r="D29" s="108"/>
      <c r="E29" s="109"/>
      <c r="F29" s="113"/>
      <c r="G29" s="114"/>
      <c r="H29" s="110"/>
      <c r="I29" s="111"/>
      <c r="J29" s="115"/>
      <c r="K29" s="113"/>
      <c r="L29" s="113"/>
      <c r="M29" s="114"/>
      <c r="N29" s="115"/>
    </row>
    <row r="30" spans="1:14" ht="48" x14ac:dyDescent="0.2">
      <c r="A30" s="112" t="s">
        <v>277</v>
      </c>
      <c r="B30" s="483" t="s">
        <v>263</v>
      </c>
      <c r="C30" s="51" t="s">
        <v>274</v>
      </c>
      <c r="D30" s="51">
        <v>0</v>
      </c>
      <c r="E30" s="54" t="s">
        <v>249</v>
      </c>
      <c r="F30" s="541" t="s">
        <v>1171</v>
      </c>
      <c r="G30" s="542"/>
      <c r="H30" s="51" t="s">
        <v>110</v>
      </c>
      <c r="I30" s="460" t="s">
        <v>110</v>
      </c>
      <c r="J30" s="95" t="str">
        <f>"Flat rate of "&amp;TEXT(100.48*52/'Average wages'!B43,"0%")</f>
        <v>Flat rate of 25%</v>
      </c>
      <c r="K30" s="53" t="str">
        <f>"Earnings up to EUR 4 105 ("&amp;TEXT(4105/'Average wages'!B43,"0%")&amp;" of AW) reduce benefit on a one-for-one basis, benefit fully withdrawn if earnings exceed this threshold"</f>
        <v>Earnings up to EUR 4 105 (20% of AW) reduce benefit on a one-for-one basis, benefit fully withdrawn if earnings exceed this threshold</v>
      </c>
      <c r="L30" s="52" t="s">
        <v>110</v>
      </c>
      <c r="M30" s="53" t="s">
        <v>1185</v>
      </c>
      <c r="N30" s="116" t="s">
        <v>275</v>
      </c>
    </row>
    <row r="32" spans="1:14" x14ac:dyDescent="0.2">
      <c r="A32" s="117" t="s">
        <v>98</v>
      </c>
      <c r="B32" s="117"/>
      <c r="C32" s="117"/>
    </row>
    <row r="33" spans="1:3" x14ac:dyDescent="0.2">
      <c r="A33" s="117" t="s">
        <v>280</v>
      </c>
      <c r="B33" s="117"/>
      <c r="C33" s="117"/>
    </row>
    <row r="34" spans="1:3" x14ac:dyDescent="0.2">
      <c r="A34" s="117" t="s">
        <v>278</v>
      </c>
      <c r="B34" s="117"/>
      <c r="C34" s="117"/>
    </row>
    <row r="35" spans="1:3" x14ac:dyDescent="0.2">
      <c r="A35" s="117" t="s">
        <v>279</v>
      </c>
      <c r="B35" s="117"/>
      <c r="C35" s="117"/>
    </row>
    <row r="36" spans="1:3" x14ac:dyDescent="0.2">
      <c r="A36" s="117" t="s">
        <v>1061</v>
      </c>
      <c r="B36" s="117"/>
      <c r="C36" s="117"/>
    </row>
    <row r="37" spans="1:3" x14ac:dyDescent="0.2">
      <c r="A37" s="117" t="s">
        <v>901</v>
      </c>
      <c r="B37" s="117"/>
      <c r="C37" s="117"/>
    </row>
    <row r="38" spans="1:3" x14ac:dyDescent="0.2">
      <c r="A38" s="117"/>
      <c r="B38" s="117"/>
      <c r="C38" s="117"/>
    </row>
    <row r="39" spans="1:3" x14ac:dyDescent="0.2">
      <c r="A39" s="117" t="s">
        <v>182</v>
      </c>
      <c r="B39" s="118" t="s">
        <v>10</v>
      </c>
      <c r="C39" s="117"/>
    </row>
    <row r="40" spans="1:3" x14ac:dyDescent="0.2">
      <c r="A40" s="117"/>
      <c r="B40" s="117"/>
      <c r="C40" s="117"/>
    </row>
  </sheetData>
  <mergeCells count="29">
    <mergeCell ref="F26:G26"/>
    <mergeCell ref="F27:G27"/>
    <mergeCell ref="F28:G28"/>
    <mergeCell ref="F30:G30"/>
    <mergeCell ref="F18:G18"/>
    <mergeCell ref="F23:G23"/>
    <mergeCell ref="F24:G24"/>
    <mergeCell ref="F25:G25"/>
    <mergeCell ref="F22:G22"/>
    <mergeCell ref="F12:G12"/>
    <mergeCell ref="F19:G19"/>
    <mergeCell ref="F20:G20"/>
    <mergeCell ref="F21:G21"/>
    <mergeCell ref="F15:G15"/>
    <mergeCell ref="F16:G16"/>
    <mergeCell ref="F17:G17"/>
    <mergeCell ref="A1:N1"/>
    <mergeCell ref="A2:N2"/>
    <mergeCell ref="A3:N3"/>
    <mergeCell ref="B7:B9"/>
    <mergeCell ref="C7:C9"/>
    <mergeCell ref="D7:D9"/>
    <mergeCell ref="E7:E9"/>
    <mergeCell ref="F7:K7"/>
    <mergeCell ref="F8:F9"/>
    <mergeCell ref="G8:G9"/>
    <mergeCell ref="H8:H9"/>
    <mergeCell ref="K8:K9"/>
    <mergeCell ref="L7:N8"/>
  </mergeCells>
  <hyperlinks>
    <hyperlink ref="B39"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7"/>
  <sheetViews>
    <sheetView zoomScale="90" zoomScaleNormal="90" workbookViewId="0">
      <pane xSplit="1" ySplit="9" topLeftCell="B46" activePane="bottomRight" state="frozen"/>
      <selection pane="topRight" activeCell="B1" sqref="B1"/>
      <selection pane="bottomLeft" activeCell="A9" sqref="A9"/>
      <selection pane="bottomRight" activeCell="C49" sqref="C49"/>
    </sheetView>
  </sheetViews>
  <sheetFormatPr defaultRowHeight="12.75" x14ac:dyDescent="0.2"/>
  <cols>
    <col min="1" max="1" width="18.85546875" bestFit="1" customWidth="1"/>
    <col min="2" max="2" width="18.140625" customWidth="1"/>
    <col min="3" max="3" width="20.85546875" customWidth="1"/>
    <col min="4" max="5" width="13.42578125" customWidth="1"/>
    <col min="6" max="6" width="11.42578125" customWidth="1"/>
    <col min="7" max="7" width="12.42578125" customWidth="1"/>
    <col min="8" max="8" width="18" bestFit="1" customWidth="1"/>
    <col min="9" max="9" width="18.42578125" bestFit="1" customWidth="1"/>
    <col min="10" max="10" width="12.85546875" customWidth="1"/>
    <col min="12" max="12" width="10" bestFit="1" customWidth="1"/>
    <col min="13" max="13" width="11" bestFit="1" customWidth="1"/>
    <col min="15" max="15" width="13.85546875" bestFit="1" customWidth="1"/>
    <col min="16" max="16" width="26.5703125" bestFit="1" customWidth="1"/>
    <col min="17" max="17" width="36.7109375" bestFit="1" customWidth="1"/>
    <col min="18" max="18" width="24.85546875" bestFit="1" customWidth="1"/>
    <col min="19" max="19" width="28.140625" bestFit="1" customWidth="1"/>
    <col min="20" max="20" width="15.140625" bestFit="1" customWidth="1"/>
    <col min="21" max="21" width="19.140625" bestFit="1" customWidth="1"/>
    <col min="22" max="22" width="16.28515625" bestFit="1" customWidth="1"/>
  </cols>
  <sheetData>
    <row r="1" spans="1:22" ht="18" x14ac:dyDescent="0.2">
      <c r="A1" s="545" t="s">
        <v>281</v>
      </c>
      <c r="B1" s="546"/>
      <c r="C1" s="546"/>
      <c r="D1" s="546"/>
      <c r="E1" s="546"/>
      <c r="F1" s="546"/>
      <c r="G1" s="546"/>
      <c r="H1" s="546"/>
      <c r="I1" s="546"/>
      <c r="J1" s="546"/>
      <c r="K1" s="546"/>
      <c r="L1" s="546"/>
      <c r="M1" s="546"/>
      <c r="N1" s="546"/>
      <c r="O1" s="546"/>
      <c r="P1" s="546"/>
      <c r="Q1" s="546"/>
      <c r="R1" s="546"/>
      <c r="S1" s="546"/>
      <c r="T1" s="546"/>
      <c r="U1" s="546"/>
      <c r="V1" s="546"/>
    </row>
    <row r="2" spans="1:22" ht="18" x14ac:dyDescent="0.2">
      <c r="A2" s="545">
        <v>2014</v>
      </c>
      <c r="B2" s="545"/>
      <c r="C2" s="545"/>
      <c r="D2" s="545"/>
      <c r="E2" s="545"/>
      <c r="F2" s="545"/>
      <c r="G2" s="545"/>
      <c r="H2" s="545"/>
      <c r="I2" s="545"/>
      <c r="J2" s="545"/>
      <c r="K2" s="545"/>
      <c r="L2" s="545"/>
      <c r="M2" s="545"/>
      <c r="N2" s="545"/>
      <c r="O2" s="545"/>
      <c r="P2" s="545"/>
      <c r="Q2" s="545"/>
      <c r="R2" s="545"/>
      <c r="S2" s="545"/>
      <c r="T2" s="545"/>
      <c r="U2" s="545"/>
      <c r="V2" s="545"/>
    </row>
    <row r="3" spans="1:22" ht="15" x14ac:dyDescent="0.2">
      <c r="A3" s="564" t="s">
        <v>896</v>
      </c>
      <c r="B3" s="564"/>
      <c r="C3" s="564"/>
      <c r="D3" s="564"/>
      <c r="E3" s="564"/>
      <c r="F3" s="564"/>
      <c r="G3" s="564"/>
      <c r="H3" s="564"/>
      <c r="I3" s="564"/>
      <c r="J3" s="564"/>
      <c r="K3" s="564"/>
      <c r="L3" s="564"/>
      <c r="M3" s="564"/>
      <c r="N3" s="564"/>
      <c r="O3" s="564"/>
      <c r="P3" s="564"/>
      <c r="Q3" s="564"/>
      <c r="R3" s="564"/>
      <c r="S3" s="564"/>
      <c r="T3" s="564"/>
      <c r="U3" s="564"/>
      <c r="V3" s="564"/>
    </row>
    <row r="4" spans="1:22" ht="0.75" customHeight="1" x14ac:dyDescent="0.2">
      <c r="A4" s="45" t="s">
        <v>9</v>
      </c>
      <c r="B4" s="45" t="s">
        <v>12</v>
      </c>
      <c r="C4" s="45" t="s">
        <v>12</v>
      </c>
      <c r="D4" s="45" t="s">
        <v>12</v>
      </c>
      <c r="E4" s="45" t="s">
        <v>12</v>
      </c>
      <c r="F4" s="45" t="s">
        <v>12</v>
      </c>
      <c r="G4" s="45" t="s">
        <v>12</v>
      </c>
      <c r="H4" s="45" t="s">
        <v>12</v>
      </c>
      <c r="I4" s="45" t="s">
        <v>12</v>
      </c>
      <c r="J4" s="45" t="s">
        <v>12</v>
      </c>
      <c r="K4" s="45" t="s">
        <v>282</v>
      </c>
      <c r="L4" s="45" t="s">
        <v>282</v>
      </c>
      <c r="M4" s="45" t="s">
        <v>282</v>
      </c>
      <c r="N4" s="45" t="s">
        <v>282</v>
      </c>
      <c r="O4" s="45" t="s">
        <v>12</v>
      </c>
      <c r="P4" s="45" t="s">
        <v>12</v>
      </c>
      <c r="Q4" s="45" t="s">
        <v>12</v>
      </c>
      <c r="R4" s="45" t="s">
        <v>12</v>
      </c>
      <c r="S4" s="45" t="s">
        <v>12</v>
      </c>
      <c r="T4" s="119" t="s">
        <v>12</v>
      </c>
      <c r="U4" s="119" t="s">
        <v>12</v>
      </c>
      <c r="V4" s="119" t="s">
        <v>12</v>
      </c>
    </row>
    <row r="5" spans="1:22" hidden="1" x14ac:dyDescent="0.2">
      <c r="A5" s="120" t="s">
        <v>14</v>
      </c>
      <c r="B5" s="48" t="s">
        <v>283</v>
      </c>
      <c r="C5" s="48" t="s">
        <v>284</v>
      </c>
      <c r="D5" s="48" t="s">
        <v>285</v>
      </c>
      <c r="E5" s="48" t="s">
        <v>286</v>
      </c>
      <c r="F5" s="48" t="s">
        <v>287</v>
      </c>
      <c r="G5" s="48" t="s">
        <v>288</v>
      </c>
      <c r="H5" s="48" t="s">
        <v>289</v>
      </c>
      <c r="I5" s="48" t="s">
        <v>290</v>
      </c>
      <c r="J5" s="48" t="s">
        <v>291</v>
      </c>
      <c r="K5" s="46"/>
      <c r="L5" s="46"/>
      <c r="M5" s="46"/>
      <c r="N5" s="46"/>
      <c r="O5" s="48" t="s">
        <v>292</v>
      </c>
      <c r="P5" s="48" t="s">
        <v>293</v>
      </c>
      <c r="Q5" s="48" t="s">
        <v>294</v>
      </c>
      <c r="R5" s="48" t="s">
        <v>295</v>
      </c>
      <c r="S5" s="48" t="s">
        <v>296</v>
      </c>
      <c r="T5" s="9" t="s">
        <v>297</v>
      </c>
      <c r="U5" s="9" t="s">
        <v>298</v>
      </c>
      <c r="V5" s="9" t="s">
        <v>299</v>
      </c>
    </row>
    <row r="6" spans="1:22" x14ac:dyDescent="0.2">
      <c r="A6" s="45"/>
      <c r="B6" s="547" t="s">
        <v>242</v>
      </c>
      <c r="C6" s="547" t="s">
        <v>300</v>
      </c>
      <c r="D6" s="549" t="s">
        <v>301</v>
      </c>
      <c r="E6" s="550"/>
      <c r="F6" s="550"/>
      <c r="G6" s="550"/>
      <c r="H6" s="550"/>
      <c r="I6" s="551"/>
      <c r="J6" s="547" t="s">
        <v>302</v>
      </c>
      <c r="K6" s="555" t="s">
        <v>303</v>
      </c>
      <c r="L6" s="556"/>
      <c r="M6" s="556"/>
      <c r="N6" s="556"/>
      <c r="O6" s="556"/>
      <c r="P6" s="556"/>
      <c r="Q6" s="556"/>
      <c r="R6" s="556"/>
      <c r="S6" s="557"/>
      <c r="T6" s="519" t="s">
        <v>244</v>
      </c>
      <c r="U6" s="521"/>
      <c r="V6" s="523"/>
    </row>
    <row r="7" spans="1:22" x14ac:dyDescent="0.2">
      <c r="A7" s="44"/>
      <c r="B7" s="548"/>
      <c r="C7" s="548"/>
      <c r="D7" s="552"/>
      <c r="E7" s="553"/>
      <c r="F7" s="553"/>
      <c r="G7" s="553"/>
      <c r="H7" s="553"/>
      <c r="I7" s="554"/>
      <c r="J7" s="548"/>
      <c r="K7" s="549" t="s">
        <v>414</v>
      </c>
      <c r="L7" s="550"/>
      <c r="M7" s="550"/>
      <c r="N7" s="550"/>
      <c r="O7" s="550"/>
      <c r="P7" s="561" t="s">
        <v>304</v>
      </c>
      <c r="Q7" s="562"/>
      <c r="R7" s="562"/>
      <c r="S7" s="563"/>
      <c r="T7" s="558"/>
      <c r="U7" s="559"/>
      <c r="V7" s="560"/>
    </row>
    <row r="8" spans="1:22" ht="72" x14ac:dyDescent="0.2">
      <c r="A8" s="130"/>
      <c r="B8" s="548"/>
      <c r="C8" s="548"/>
      <c r="D8" s="121" t="s">
        <v>305</v>
      </c>
      <c r="E8" s="122" t="s">
        <v>306</v>
      </c>
      <c r="F8" s="122" t="s">
        <v>307</v>
      </c>
      <c r="G8" s="122" t="s">
        <v>308</v>
      </c>
      <c r="H8" s="122" t="s">
        <v>309</v>
      </c>
      <c r="I8" s="122" t="s">
        <v>310</v>
      </c>
      <c r="J8" s="548"/>
      <c r="K8" s="121" t="s">
        <v>311</v>
      </c>
      <c r="L8" s="122" t="s">
        <v>312</v>
      </c>
      <c r="M8" s="122" t="s">
        <v>313</v>
      </c>
      <c r="N8" s="122" t="s">
        <v>314</v>
      </c>
      <c r="O8" s="123" t="s">
        <v>315</v>
      </c>
      <c r="P8" s="121" t="s">
        <v>316</v>
      </c>
      <c r="Q8" s="122" t="s">
        <v>317</v>
      </c>
      <c r="R8" s="122" t="s">
        <v>318</v>
      </c>
      <c r="S8" s="124" t="s">
        <v>319</v>
      </c>
      <c r="T8" s="42" t="s">
        <v>43</v>
      </c>
      <c r="U8" s="43" t="s">
        <v>320</v>
      </c>
      <c r="V8" s="15" t="s">
        <v>45</v>
      </c>
    </row>
    <row r="9" spans="1:22" hidden="1" x14ac:dyDescent="0.2">
      <c r="A9" s="131"/>
      <c r="B9" s="125" t="s">
        <v>46</v>
      </c>
      <c r="C9" s="126" t="s">
        <v>47</v>
      </c>
      <c r="D9" s="127" t="s">
        <v>48</v>
      </c>
      <c r="E9" s="126" t="s">
        <v>49</v>
      </c>
      <c r="F9" s="126" t="s">
        <v>50</v>
      </c>
      <c r="G9" s="126" t="s">
        <v>51</v>
      </c>
      <c r="H9" s="128" t="s">
        <v>52</v>
      </c>
      <c r="I9" s="126" t="s">
        <v>53</v>
      </c>
      <c r="J9" s="127" t="s">
        <v>54</v>
      </c>
      <c r="K9" s="127" t="s">
        <v>55</v>
      </c>
      <c r="L9" s="126" t="s">
        <v>56</v>
      </c>
      <c r="M9" s="126" t="s">
        <v>57</v>
      </c>
      <c r="N9" s="126" t="s">
        <v>58</v>
      </c>
      <c r="O9" s="120" t="s">
        <v>59</v>
      </c>
      <c r="P9" s="127" t="s">
        <v>321</v>
      </c>
      <c r="Q9" s="126" t="s">
        <v>322</v>
      </c>
      <c r="R9" s="126" t="s">
        <v>323</v>
      </c>
      <c r="S9" s="129" t="s">
        <v>324</v>
      </c>
      <c r="T9" s="18" t="s">
        <v>325</v>
      </c>
      <c r="U9" s="19" t="s">
        <v>326</v>
      </c>
      <c r="V9" s="20" t="s">
        <v>327</v>
      </c>
    </row>
    <row r="11" spans="1:22" x14ac:dyDescent="0.2">
      <c r="A11" s="132" t="s">
        <v>60</v>
      </c>
      <c r="B11" s="133"/>
      <c r="C11" s="17"/>
      <c r="D11" s="134"/>
      <c r="E11" s="17"/>
      <c r="F11" s="17"/>
      <c r="G11" s="17"/>
      <c r="H11" s="17"/>
      <c r="I11" s="17"/>
      <c r="J11" s="133"/>
      <c r="K11" s="134"/>
      <c r="L11" s="17"/>
      <c r="M11" s="17"/>
      <c r="N11" s="17"/>
      <c r="O11" s="135"/>
      <c r="P11" s="134"/>
      <c r="Q11" s="17"/>
      <c r="R11" s="17"/>
      <c r="S11" s="136"/>
      <c r="T11" s="134"/>
      <c r="U11" s="17"/>
      <c r="V11" s="136"/>
    </row>
    <row r="12" spans="1:22" ht="156" x14ac:dyDescent="0.2">
      <c r="A12" s="137" t="s">
        <v>248</v>
      </c>
      <c r="B12" s="138" t="s">
        <v>339</v>
      </c>
      <c r="C12" s="64" t="s">
        <v>340</v>
      </c>
      <c r="D12" s="63" t="s">
        <v>341</v>
      </c>
      <c r="E12" s="64" t="s">
        <v>1202</v>
      </c>
      <c r="F12" s="64" t="s">
        <v>341</v>
      </c>
      <c r="G12" s="64" t="s">
        <v>153</v>
      </c>
      <c r="H12" s="64" t="s">
        <v>153</v>
      </c>
      <c r="I12" s="64" t="s">
        <v>153</v>
      </c>
      <c r="J12" s="138" t="s">
        <v>342</v>
      </c>
      <c r="K12" s="139">
        <f>(510.5*26+8.7*26+107.8*2)/'Average wages'!B4</f>
        <v>0.17271090178695112</v>
      </c>
      <c r="L12" s="140">
        <f>(2*460.9*26+2*7.8*26+2*89.9*2)/'Average wages'!B4-'Social Assistance'!K12</f>
        <v>0.13873994131647541</v>
      </c>
      <c r="M12" s="143">
        <v>0</v>
      </c>
      <c r="N12" s="143">
        <f>((713.2*26+11.9*26+107.8*2)/'Average wages'!B4-'Social Assistance'!K12)/2</f>
        <v>3.370776612222795E-2</v>
      </c>
      <c r="O12" s="64" t="s">
        <v>1214</v>
      </c>
      <c r="P12" s="82" t="str">
        <f>"NSA: AUD 100 per fortnight ("&amp;TEXT(100*26/'Average wages'!B4,"0%")&amp;" of AW). 
YA: AUD 143 per fortnight ("&amp;TEXT(143*26/'Average wages'!B4,"0%")&amp;" of AW)."</f>
        <v>NSA: AUD 100 per fortnight (3% of AW). 
YA: AUD 143 per fortnight (5% of AW).</v>
      </c>
      <c r="Q12" s="72" t="str">
        <f>"50% up to AUD 250 per fortnight ("&amp;TEXT(250*26/'Average wages'!B4,"0%")&amp;" of AW), 60% thereafter"</f>
        <v>50% up to AUD 250 per fortnight (8% of AW), 60% thereafter</v>
      </c>
      <c r="R12" s="64" t="s">
        <v>341</v>
      </c>
      <c r="S12" s="66" t="s">
        <v>153</v>
      </c>
      <c r="T12" s="73" t="str">
        <f>'Unemployment Assistance'!L12</f>
        <v>G: +/- lower benefit rates but higher income disregards for those aged under 22 on YA;
G: + single people aged 60 or over entitled to higher rate after receiving support for 9 consecutive months</v>
      </c>
      <c r="U12" s="73" t="s">
        <v>1239</v>
      </c>
      <c r="V12" s="74" t="s">
        <v>110</v>
      </c>
    </row>
    <row r="13" spans="1:22" ht="24" x14ac:dyDescent="0.2">
      <c r="A13" s="137" t="s">
        <v>927</v>
      </c>
      <c r="B13" s="160" t="s">
        <v>343</v>
      </c>
      <c r="C13" s="454" t="s">
        <v>110</v>
      </c>
      <c r="D13" s="63" t="s">
        <v>341</v>
      </c>
      <c r="E13" s="454" t="s">
        <v>341</v>
      </c>
      <c r="F13" s="454" t="s">
        <v>341</v>
      </c>
      <c r="G13" s="454" t="s">
        <v>341</v>
      </c>
      <c r="H13" s="454" t="s">
        <v>153</v>
      </c>
      <c r="I13" s="454" t="s">
        <v>153</v>
      </c>
      <c r="J13" s="138" t="s">
        <v>350</v>
      </c>
      <c r="K13" s="139">
        <f>813.99*12/'Average wages'!B5</f>
        <v>0.22814873293914442</v>
      </c>
      <c r="L13" s="168">
        <f>(1220.98-813.99)*12/'Average wages'!B5</f>
        <v>0.11407296504736222</v>
      </c>
      <c r="M13" s="168">
        <f>(1220.98+219.78*2-1220.98)/2*12/'Average wages'!B5</f>
        <v>6.1600914661562367E-2</v>
      </c>
      <c r="N13" s="168">
        <f>(813.99+219.78*2-813.99)/2*12/'Average wages'!B5</f>
        <v>6.1600914661562367E-2</v>
      </c>
      <c r="O13" s="454" t="s">
        <v>1213</v>
      </c>
      <c r="P13" s="63" t="s">
        <v>153</v>
      </c>
      <c r="Q13" s="464">
        <v>1</v>
      </c>
      <c r="R13" s="454" t="s">
        <v>341</v>
      </c>
      <c r="S13" s="453" t="s">
        <v>928</v>
      </c>
      <c r="T13" s="73" t="s">
        <v>110</v>
      </c>
      <c r="U13" s="73" t="s">
        <v>110</v>
      </c>
      <c r="V13" s="74" t="s">
        <v>110</v>
      </c>
    </row>
    <row r="14" spans="1:22" ht="120" x14ac:dyDescent="0.2">
      <c r="A14" s="137" t="s">
        <v>328</v>
      </c>
      <c r="B14" s="138" t="s">
        <v>346</v>
      </c>
      <c r="C14" s="64">
        <v>18</v>
      </c>
      <c r="D14" s="63" t="s">
        <v>120</v>
      </c>
      <c r="E14" s="64" t="s">
        <v>347</v>
      </c>
      <c r="F14" s="64" t="s">
        <v>347</v>
      </c>
      <c r="G14" s="64" t="s">
        <v>347</v>
      </c>
      <c r="H14" s="64" t="s">
        <v>153</v>
      </c>
      <c r="I14" s="64" t="s">
        <v>120</v>
      </c>
      <c r="J14" s="138" t="s">
        <v>342</v>
      </c>
      <c r="K14" s="139">
        <v>0.20815377838387772</v>
      </c>
      <c r="L14" s="451">
        <v>6.9383724051345338E-2</v>
      </c>
      <c r="M14" s="143">
        <v>4.8096950018399462E-2</v>
      </c>
      <c r="N14" s="451">
        <v>6.0035388661601408E-2</v>
      </c>
      <c r="O14" s="454" t="s">
        <v>153</v>
      </c>
      <c r="P14" s="82" t="str">
        <f>"Minimex: EUR 310 (250) net monthly ("&amp;TEXT(310*12/'Average wages'!B6,"0%")&amp;"/"&amp;TEXT(250*12/'Average wages'!B6,"0%")&amp;" of AW) with children (without children)
AFG: EUR 4062.83 net per quarter ("&amp;TEXT(4062.83/'Average wages'!B6,"0%")&amp;" of AW)"</f>
        <v>Minimex: EUR 310 (250) net monthly (8%/6% of AW) with children (without children)
AFG: EUR 4062.83 net per quarter (9% of AW)</v>
      </c>
      <c r="Q14" s="72" t="s">
        <v>1222</v>
      </c>
      <c r="R14" s="454" t="s">
        <v>341</v>
      </c>
      <c r="S14" s="74" t="s">
        <v>348</v>
      </c>
      <c r="T14" s="73" t="s">
        <v>110</v>
      </c>
      <c r="U14" s="73" t="s">
        <v>110</v>
      </c>
      <c r="V14" s="74" t="s">
        <v>110</v>
      </c>
    </row>
    <row r="15" spans="1:22" ht="132" x14ac:dyDescent="0.2">
      <c r="A15" s="142" t="s">
        <v>929</v>
      </c>
      <c r="B15" s="160" t="s">
        <v>349</v>
      </c>
      <c r="C15" s="64" t="s">
        <v>120</v>
      </c>
      <c r="D15" s="63" t="s">
        <v>120</v>
      </c>
      <c r="E15" s="64" t="s">
        <v>1192</v>
      </c>
      <c r="F15" s="64" t="s">
        <v>120</v>
      </c>
      <c r="G15" s="64" t="s">
        <v>120</v>
      </c>
      <c r="H15" s="64" t="s">
        <v>120</v>
      </c>
      <c r="I15" s="64" t="s">
        <v>120</v>
      </c>
      <c r="J15" s="138" t="s">
        <v>350</v>
      </c>
      <c r="K15" s="139">
        <v>0.15167062945814042</v>
      </c>
      <c r="L15" s="451">
        <v>0.10937304467525967</v>
      </c>
      <c r="M15" s="451">
        <v>1.3139782255036916E-2</v>
      </c>
      <c r="N15" s="451">
        <v>4.817920160180203E-2</v>
      </c>
      <c r="O15" s="454" t="s">
        <v>1207</v>
      </c>
      <c r="P15" s="63" t="s">
        <v>153</v>
      </c>
      <c r="Q15" s="464">
        <v>0.5</v>
      </c>
      <c r="R15" s="454" t="s">
        <v>341</v>
      </c>
      <c r="S15" s="453" t="s">
        <v>351</v>
      </c>
      <c r="T15" s="73" t="s">
        <v>110</v>
      </c>
      <c r="U15" s="73" t="s">
        <v>110</v>
      </c>
      <c r="V15" s="74" t="s">
        <v>110</v>
      </c>
    </row>
    <row r="16" spans="1:22" ht="60" x14ac:dyDescent="0.2">
      <c r="A16" s="144" t="s">
        <v>64</v>
      </c>
      <c r="B16" s="145" t="s">
        <v>352</v>
      </c>
      <c r="C16" s="146" t="s">
        <v>110</v>
      </c>
      <c r="D16" s="147" t="s">
        <v>153</v>
      </c>
      <c r="E16" s="146" t="s">
        <v>153</v>
      </c>
      <c r="F16" s="146" t="s">
        <v>153</v>
      </c>
      <c r="G16" s="146" t="s">
        <v>153</v>
      </c>
      <c r="H16" s="146" t="s">
        <v>153</v>
      </c>
      <c r="I16" s="146" t="s">
        <v>153</v>
      </c>
      <c r="J16" s="145" t="s">
        <v>342</v>
      </c>
      <c r="K16" s="565">
        <v>2.6164299993686045E-2</v>
      </c>
      <c r="L16" s="567">
        <v>2.6164299993686045E-2</v>
      </c>
      <c r="M16" s="567">
        <v>4.0700022212400516E-2</v>
      </c>
      <c r="N16" s="567">
        <v>4.0700022212400516E-2</v>
      </c>
      <c r="O16" s="162" t="s">
        <v>353</v>
      </c>
      <c r="P16" s="147" t="s">
        <v>153</v>
      </c>
      <c r="Q16" s="148" t="s">
        <v>1229</v>
      </c>
      <c r="R16" s="146" t="s">
        <v>341</v>
      </c>
      <c r="S16" s="149" t="s">
        <v>153</v>
      </c>
      <c r="T16" s="163" t="s">
        <v>110</v>
      </c>
      <c r="U16" s="146" t="s">
        <v>354</v>
      </c>
      <c r="V16" s="164" t="s">
        <v>110</v>
      </c>
    </row>
    <row r="17" spans="1:22" ht="84.75" thickBot="1" x14ac:dyDescent="0.25">
      <c r="A17" s="150"/>
      <c r="B17" s="151" t="s">
        <v>355</v>
      </c>
      <c r="C17" s="91" t="s">
        <v>110</v>
      </c>
      <c r="D17" s="152" t="s">
        <v>153</v>
      </c>
      <c r="E17" s="91" t="s">
        <v>153</v>
      </c>
      <c r="F17" s="91" t="s">
        <v>153</v>
      </c>
      <c r="G17" s="91" t="s">
        <v>153</v>
      </c>
      <c r="H17" s="91" t="s">
        <v>1193</v>
      </c>
      <c r="I17" s="91" t="s">
        <v>153</v>
      </c>
      <c r="J17" s="151" t="s">
        <v>342</v>
      </c>
      <c r="K17" s="566"/>
      <c r="L17" s="568"/>
      <c r="M17" s="568"/>
      <c r="N17" s="568"/>
      <c r="O17" s="91" t="s">
        <v>153</v>
      </c>
      <c r="P17" s="152" t="s">
        <v>153</v>
      </c>
      <c r="Q17" s="94" t="s">
        <v>110</v>
      </c>
      <c r="R17" s="91" t="s">
        <v>110</v>
      </c>
      <c r="S17" s="93" t="s">
        <v>110</v>
      </c>
      <c r="T17" s="92" t="s">
        <v>110</v>
      </c>
      <c r="U17" s="92" t="s">
        <v>110</v>
      </c>
      <c r="V17" s="165" t="s">
        <v>110</v>
      </c>
    </row>
    <row r="18" spans="1:22" ht="96.75" thickBot="1" x14ac:dyDescent="0.25">
      <c r="A18" s="142" t="s">
        <v>329</v>
      </c>
      <c r="B18" s="484" t="s">
        <v>356</v>
      </c>
      <c r="C18" s="64" t="s">
        <v>120</v>
      </c>
      <c r="D18" s="63" t="s">
        <v>341</v>
      </c>
      <c r="E18" s="64" t="s">
        <v>341</v>
      </c>
      <c r="F18" s="64" t="s">
        <v>341</v>
      </c>
      <c r="G18" s="64" t="s">
        <v>357</v>
      </c>
      <c r="H18" s="64" t="s">
        <v>153</v>
      </c>
      <c r="I18" s="64" t="s">
        <v>358</v>
      </c>
      <c r="J18" s="138" t="s">
        <v>342</v>
      </c>
      <c r="K18" s="139">
        <v>0.13531611789565579</v>
      </c>
      <c r="L18" s="451">
        <v>0.10158629378676799</v>
      </c>
      <c r="M18" s="451">
        <v>5.4959772224481902E-2</v>
      </c>
      <c r="N18" s="451">
        <v>4.9602682513070304E-2</v>
      </c>
      <c r="O18" s="73" t="s">
        <v>153</v>
      </c>
      <c r="P18" s="82" t="s">
        <v>153</v>
      </c>
      <c r="Q18" s="464">
        <v>0.7</v>
      </c>
      <c r="R18" s="454" t="s">
        <v>341</v>
      </c>
      <c r="S18" s="74" t="s">
        <v>359</v>
      </c>
      <c r="T18" s="92" t="s">
        <v>110</v>
      </c>
      <c r="U18" s="92" t="s">
        <v>110</v>
      </c>
      <c r="V18" s="165" t="s">
        <v>110</v>
      </c>
    </row>
    <row r="19" spans="1:22" ht="84" x14ac:dyDescent="0.2">
      <c r="A19" s="137" t="s">
        <v>66</v>
      </c>
      <c r="B19" s="170" t="s">
        <v>360</v>
      </c>
      <c r="C19" s="454">
        <v>18</v>
      </c>
      <c r="D19" s="63" t="s">
        <v>341</v>
      </c>
      <c r="E19" s="454" t="s">
        <v>1194</v>
      </c>
      <c r="F19" s="454" t="s">
        <v>341</v>
      </c>
      <c r="G19" s="454" t="s">
        <v>153</v>
      </c>
      <c r="H19" s="83" t="s">
        <v>153</v>
      </c>
      <c r="I19" s="454" t="s">
        <v>1194</v>
      </c>
      <c r="J19" s="138" t="s">
        <v>342</v>
      </c>
      <c r="K19" s="139">
        <f>10689*12/'Average wages'!B10</f>
        <v>0.32260563380281693</v>
      </c>
      <c r="L19" s="451">
        <f>10689*12/'Average wages'!B10</f>
        <v>0.32260563380281693</v>
      </c>
      <c r="M19" s="451">
        <f>(14203*2-10689*2)/2*12/'Average wages'!B10</f>
        <v>0.10605633802816901</v>
      </c>
      <c r="N19" s="451">
        <f>(14203-10689)/2*12/'Average wages'!B10</f>
        <v>5.3028169014084504E-2</v>
      </c>
      <c r="O19" s="454" t="s">
        <v>1208</v>
      </c>
      <c r="P19" s="63" t="s">
        <v>1220</v>
      </c>
      <c r="Q19" s="464">
        <v>1</v>
      </c>
      <c r="R19" s="454" t="s">
        <v>341</v>
      </c>
      <c r="S19" s="453" t="s">
        <v>361</v>
      </c>
      <c r="T19" s="454" t="s">
        <v>1236</v>
      </c>
      <c r="U19" s="92" t="s">
        <v>110</v>
      </c>
      <c r="V19" s="165" t="s">
        <v>110</v>
      </c>
    </row>
    <row r="20" spans="1:22" ht="84" x14ac:dyDescent="0.2">
      <c r="A20" s="137" t="s">
        <v>67</v>
      </c>
      <c r="B20" s="138" t="s">
        <v>986</v>
      </c>
      <c r="C20" s="64" t="s">
        <v>110</v>
      </c>
      <c r="D20" s="63" t="s">
        <v>362</v>
      </c>
      <c r="E20" s="64" t="s">
        <v>362</v>
      </c>
      <c r="F20" s="64" t="s">
        <v>362</v>
      </c>
      <c r="G20" s="64" t="s">
        <v>153</v>
      </c>
      <c r="H20" s="64" t="s">
        <v>153</v>
      </c>
      <c r="I20" s="64" t="s">
        <v>153</v>
      </c>
      <c r="J20" s="138" t="s">
        <v>342</v>
      </c>
      <c r="K20" s="139">
        <v>8.7999999999999995E-2</v>
      </c>
      <c r="L20" s="451">
        <v>7.0000000000000007E-2</v>
      </c>
      <c r="M20" s="451">
        <v>7.0000000000000007E-2</v>
      </c>
      <c r="N20" s="451">
        <v>7.0000000000000007E-2</v>
      </c>
      <c r="O20" s="454" t="s">
        <v>458</v>
      </c>
      <c r="P20" s="63" t="s">
        <v>153</v>
      </c>
      <c r="Q20" s="464">
        <v>1</v>
      </c>
      <c r="R20" s="454" t="s">
        <v>341</v>
      </c>
      <c r="S20" s="74" t="s">
        <v>987</v>
      </c>
      <c r="T20" s="73" t="s">
        <v>110</v>
      </c>
      <c r="U20" s="92" t="s">
        <v>110</v>
      </c>
      <c r="V20" s="165" t="s">
        <v>110</v>
      </c>
    </row>
    <row r="21" spans="1:22" ht="60" x14ac:dyDescent="0.2">
      <c r="A21" s="137" t="s">
        <v>68</v>
      </c>
      <c r="B21" s="170" t="s">
        <v>363</v>
      </c>
      <c r="C21" s="64" t="s">
        <v>110</v>
      </c>
      <c r="D21" s="63" t="s">
        <v>341</v>
      </c>
      <c r="E21" s="64" t="s">
        <v>341</v>
      </c>
      <c r="F21" s="64" t="s">
        <v>341</v>
      </c>
      <c r="G21" s="64" t="s">
        <v>153</v>
      </c>
      <c r="H21" s="64" t="s">
        <v>153</v>
      </c>
      <c r="I21" s="64" t="s">
        <v>1203</v>
      </c>
      <c r="J21" s="138" t="s">
        <v>342</v>
      </c>
      <c r="K21" s="139">
        <v>0.13500000000000001</v>
      </c>
      <c r="L21" s="451">
        <v>9.4E-2</v>
      </c>
      <c r="M21" s="451">
        <v>8.2000000000000003E-2</v>
      </c>
      <c r="N21" s="451">
        <v>1.2999999999999999E-2</v>
      </c>
      <c r="O21" s="454" t="s">
        <v>1209</v>
      </c>
      <c r="P21" s="82" t="str">
        <f>"20% of net earnings up to EUR 150 per family per month ("&amp;TEXT(150*12/'Average wages'!B12,"0%")&amp;" of AW)"</f>
        <v>20% of net earnings up to EUR 150 per family per month (4% of AW)</v>
      </c>
      <c r="Q21" s="72" t="s">
        <v>969</v>
      </c>
      <c r="R21" s="454" t="s">
        <v>341</v>
      </c>
      <c r="S21" s="453" t="s">
        <v>364</v>
      </c>
      <c r="T21" s="73" t="s">
        <v>1231</v>
      </c>
      <c r="U21" s="92" t="s">
        <v>110</v>
      </c>
      <c r="V21" s="165" t="s">
        <v>1240</v>
      </c>
    </row>
    <row r="22" spans="1:22" ht="84" x14ac:dyDescent="0.2">
      <c r="A22" s="137" t="s">
        <v>330</v>
      </c>
      <c r="B22" s="138" t="s">
        <v>365</v>
      </c>
      <c r="C22" s="64" t="s">
        <v>366</v>
      </c>
      <c r="D22" s="63" t="s">
        <v>341</v>
      </c>
      <c r="E22" s="64" t="s">
        <v>341</v>
      </c>
      <c r="F22" s="64" t="s">
        <v>341</v>
      </c>
      <c r="G22" s="64" t="s">
        <v>153</v>
      </c>
      <c r="H22" s="64" t="s">
        <v>153</v>
      </c>
      <c r="I22" s="64" t="s">
        <v>153</v>
      </c>
      <c r="J22" s="138" t="s">
        <v>342</v>
      </c>
      <c r="K22" s="139">
        <v>0.16168774812997461</v>
      </c>
      <c r="L22" s="451">
        <v>8.0843738223294659E-2</v>
      </c>
      <c r="M22" s="451">
        <v>2.2675802689516935E-2</v>
      </c>
      <c r="N22" s="451">
        <v>9.3740754730075385E-3</v>
      </c>
      <c r="O22" s="454" t="s">
        <v>367</v>
      </c>
      <c r="P22" s="63" t="s">
        <v>1218</v>
      </c>
      <c r="Q22" s="464" t="s">
        <v>368</v>
      </c>
      <c r="R22" s="454" t="s">
        <v>341</v>
      </c>
      <c r="S22" s="453" t="s">
        <v>369</v>
      </c>
      <c r="T22" s="73" t="s">
        <v>110</v>
      </c>
      <c r="U22" s="92" t="s">
        <v>110</v>
      </c>
      <c r="V22" s="165" t="s">
        <v>110</v>
      </c>
    </row>
    <row r="23" spans="1:22" ht="204" x14ac:dyDescent="0.2">
      <c r="A23" s="137" t="s">
        <v>930</v>
      </c>
      <c r="B23" s="166" t="s">
        <v>900</v>
      </c>
      <c r="C23" s="73">
        <v>15</v>
      </c>
      <c r="D23" s="82" t="s">
        <v>341</v>
      </c>
      <c r="E23" s="73" t="s">
        <v>341</v>
      </c>
      <c r="F23" s="73" t="s">
        <v>341</v>
      </c>
      <c r="G23" s="73" t="s">
        <v>341</v>
      </c>
      <c r="H23" s="73" t="s">
        <v>153</v>
      </c>
      <c r="I23" s="73" t="s">
        <v>381</v>
      </c>
      <c r="J23" s="166" t="s">
        <v>342</v>
      </c>
      <c r="K23" s="167">
        <f>391*12/'Average wages'!B14</f>
        <v>0.10206656515118556</v>
      </c>
      <c r="L23" s="168">
        <f>353*12/'Average wages'!B14</f>
        <v>9.2147052425494883E-2</v>
      </c>
      <c r="M23" s="168">
        <f>(391+353+229*2-391-353)/2*12/'Average wages'!B14</f>
        <v>5.9778116162714813E-2</v>
      </c>
      <c r="N23" s="168">
        <f>(391+391*0.36+229*2-391)/2*12/'Average wages'!B14</f>
        <v>7.8150097889928216E-2</v>
      </c>
      <c r="O23" s="73" t="s">
        <v>1065</v>
      </c>
      <c r="P23" s="82" t="str">
        <f>"EUR 100/month ("&amp;TEXT(100*100*12/'Average wages'!B14,0)&amp;"% of AW)"</f>
        <v>EUR 100/month (3% of AW)</v>
      </c>
      <c r="Q23" s="72" t="str">
        <f>"80% up to EUR 1000/month ("&amp;TEXT(100*1000*12/'Average wages'!B14,0)&amp;"% of AW)
Then 90% up to EUR 1200/month ("&amp;TEXT(100*1200*12/'Average wages'!B14,0)&amp;"% of AW), (EUR1500/month/"&amp;TEXT(100*1500*12/'Average wages'!B14,0)&amp;"% of AW if children)
100% thereafter"</f>
        <v>80% up to EUR 1000/month (26% of AW)
Then 90% up to EUR 1200/month (31% of AW), (EUR1500/month/39% of AW if children)
100% thereafter</v>
      </c>
      <c r="R23" s="73" t="s">
        <v>341</v>
      </c>
      <c r="S23" s="74" t="s">
        <v>902</v>
      </c>
      <c r="T23" s="73" t="s">
        <v>110</v>
      </c>
      <c r="U23" s="92" t="s">
        <v>110</v>
      </c>
      <c r="V23" s="165" t="s">
        <v>110</v>
      </c>
    </row>
    <row r="24" spans="1:22" ht="204" x14ac:dyDescent="0.2">
      <c r="A24" s="137" t="s">
        <v>930</v>
      </c>
      <c r="B24" s="170" t="s">
        <v>945</v>
      </c>
      <c r="C24" s="73">
        <v>15</v>
      </c>
      <c r="D24" s="82" t="s">
        <v>153</v>
      </c>
      <c r="E24" s="73" t="s">
        <v>153</v>
      </c>
      <c r="F24" s="73" t="s">
        <v>153</v>
      </c>
      <c r="G24" s="73" t="s">
        <v>153</v>
      </c>
      <c r="H24" s="73" t="s">
        <v>944</v>
      </c>
      <c r="I24" s="73" t="s">
        <v>153</v>
      </c>
      <c r="J24" s="166" t="s">
        <v>342</v>
      </c>
      <c r="K24" s="167">
        <f>391*12/'Average wages'!B14</f>
        <v>0.10206656515118556</v>
      </c>
      <c r="L24" s="168">
        <f>353*12/'Average wages'!B14</f>
        <v>9.2147052425494883E-2</v>
      </c>
      <c r="M24" s="168">
        <f>(391+353+229*2-391-353)/2*12/'Average wages'!B14</f>
        <v>5.9778116162714813E-2</v>
      </c>
      <c r="N24" s="168">
        <f>(391+391*0.36+229*2-391)/2*12/'Average wages'!B14</f>
        <v>7.8150097889928216E-2</v>
      </c>
      <c r="O24" s="73" t="s">
        <v>1065</v>
      </c>
      <c r="P24" s="82" t="str">
        <f>"30% of income earned, max. EUR 195.5/month ("&amp;TEXT(100*208*12/'Average wages'!B14,0)&amp;"% of AW) working less than 3 hours/week (otherwise classfied as able-to-work and eligible to unemployment benefit II)"</f>
        <v>30% of income earned, max. EUR 195.5/month (5% of AW) working less than 3 hours/week (otherwise classfied as able-to-work and eligible to unemployment benefit II)</v>
      </c>
      <c r="Q24" s="72" t="s">
        <v>1223</v>
      </c>
      <c r="R24" s="73" t="s">
        <v>341</v>
      </c>
      <c r="S24" s="74" t="s">
        <v>903</v>
      </c>
      <c r="T24" s="73" t="s">
        <v>110</v>
      </c>
      <c r="U24" s="92" t="s">
        <v>110</v>
      </c>
      <c r="V24" s="165" t="s">
        <v>110</v>
      </c>
    </row>
    <row r="25" spans="1:22" ht="36" x14ac:dyDescent="0.2">
      <c r="A25" s="137" t="s">
        <v>442</v>
      </c>
      <c r="B25" s="160" t="s">
        <v>370</v>
      </c>
      <c r="C25" s="64">
        <v>18</v>
      </c>
      <c r="D25" s="63" t="s">
        <v>341</v>
      </c>
      <c r="E25" s="64" t="s">
        <v>341</v>
      </c>
      <c r="F25" s="64" t="s">
        <v>341</v>
      </c>
      <c r="G25" s="64" t="s">
        <v>341</v>
      </c>
      <c r="H25" s="64" t="s">
        <v>153</v>
      </c>
      <c r="I25" s="64" t="s">
        <v>153</v>
      </c>
      <c r="J25" s="138" t="s">
        <v>342</v>
      </c>
      <c r="K25" s="139">
        <v>9.3266792113229163E-2</v>
      </c>
      <c r="L25" s="451">
        <v>0</v>
      </c>
      <c r="M25" s="451">
        <v>0</v>
      </c>
      <c r="N25" s="451">
        <v>0</v>
      </c>
      <c r="O25" s="454" t="s">
        <v>153</v>
      </c>
      <c r="P25" s="63" t="s">
        <v>153</v>
      </c>
      <c r="Q25" s="464" t="s">
        <v>110</v>
      </c>
      <c r="R25" s="454" t="s">
        <v>341</v>
      </c>
      <c r="S25" s="453" t="s">
        <v>371</v>
      </c>
      <c r="T25" s="73" t="s">
        <v>110</v>
      </c>
      <c r="U25" s="92" t="s">
        <v>110</v>
      </c>
      <c r="V25" s="165" t="s">
        <v>110</v>
      </c>
    </row>
    <row r="26" spans="1:22" ht="24" x14ac:dyDescent="0.2">
      <c r="A26" s="153" t="s">
        <v>331</v>
      </c>
      <c r="B26" s="485" t="s">
        <v>918</v>
      </c>
      <c r="C26" s="146">
        <v>18</v>
      </c>
      <c r="D26" s="147" t="s">
        <v>120</v>
      </c>
      <c r="E26" s="146" t="s">
        <v>120</v>
      </c>
      <c r="F26" s="146" t="s">
        <v>341</v>
      </c>
      <c r="G26" s="146" t="s">
        <v>120</v>
      </c>
      <c r="H26" s="146" t="s">
        <v>153</v>
      </c>
      <c r="I26" s="146" t="s">
        <v>120</v>
      </c>
      <c r="J26" s="145" t="s">
        <v>373</v>
      </c>
      <c r="K26" s="154">
        <v>0.28299999999999997</v>
      </c>
      <c r="L26" s="155">
        <v>0.14099999999999999</v>
      </c>
      <c r="M26" s="451">
        <v>0</v>
      </c>
      <c r="N26" s="451">
        <v>0</v>
      </c>
      <c r="O26" s="146" t="s">
        <v>153</v>
      </c>
      <c r="P26" s="147" t="s">
        <v>153</v>
      </c>
      <c r="Q26" s="148">
        <v>1</v>
      </c>
      <c r="R26" s="146" t="s">
        <v>120</v>
      </c>
      <c r="S26" s="149" t="s">
        <v>374</v>
      </c>
      <c r="T26" s="73" t="s">
        <v>110</v>
      </c>
      <c r="U26" s="92" t="s">
        <v>110</v>
      </c>
      <c r="V26" s="165" t="s">
        <v>110</v>
      </c>
    </row>
    <row r="27" spans="1:22" ht="48" x14ac:dyDescent="0.2">
      <c r="A27" s="137" t="s">
        <v>973</v>
      </c>
      <c r="B27" s="160" t="s">
        <v>972</v>
      </c>
      <c r="C27" s="64" t="s">
        <v>110</v>
      </c>
      <c r="D27" s="63" t="s">
        <v>341</v>
      </c>
      <c r="E27" s="64" t="s">
        <v>341</v>
      </c>
      <c r="F27" s="64" t="s">
        <v>341</v>
      </c>
      <c r="G27" s="64" t="s">
        <v>153</v>
      </c>
      <c r="H27" s="64" t="s">
        <v>153</v>
      </c>
      <c r="I27" s="64" t="s">
        <v>153</v>
      </c>
      <c r="J27" s="138" t="s">
        <v>342</v>
      </c>
      <c r="K27" s="139">
        <f>188*52/'Average wages'!B18</f>
        <v>0.22544623410699369</v>
      </c>
      <c r="L27" s="451">
        <f>124.8*52/'Average wages'!B18</f>
        <v>0.14965792561996175</v>
      </c>
      <c r="M27" s="451">
        <f>29.8*52/'Average wages'!B18</f>
        <v>3.5735626470151133E-2</v>
      </c>
      <c r="N27" s="451">
        <f>M27</f>
        <v>3.5735626470151133E-2</v>
      </c>
      <c r="O27" s="454" t="s">
        <v>153</v>
      </c>
      <c r="P27" s="63" t="str">
        <f>"EUR 20 per day up to 3 days per week (maximum "&amp;TEXT(60*52*100/'Average wages'!B18,0)&amp;"% of AW)."</f>
        <v>EUR 20 per day up to 3 days per week (maximum 7% of AW).</v>
      </c>
      <c r="Q27" s="464">
        <v>0.6</v>
      </c>
      <c r="R27" s="454" t="s">
        <v>341</v>
      </c>
      <c r="S27" s="453" t="s">
        <v>153</v>
      </c>
      <c r="T27" s="73" t="s">
        <v>1237</v>
      </c>
      <c r="U27" s="92" t="s">
        <v>110</v>
      </c>
      <c r="V27" s="165" t="s">
        <v>110</v>
      </c>
    </row>
    <row r="28" spans="1:22" ht="130.9" customHeight="1" x14ac:dyDescent="0.2">
      <c r="A28" s="137" t="s">
        <v>75</v>
      </c>
      <c r="B28" s="170" t="s">
        <v>375</v>
      </c>
      <c r="C28" s="454">
        <v>20</v>
      </c>
      <c r="D28" s="63" t="s">
        <v>341</v>
      </c>
      <c r="E28" s="454" t="s">
        <v>341</v>
      </c>
      <c r="F28" s="454" t="s">
        <v>341</v>
      </c>
      <c r="G28" s="454" t="s">
        <v>153</v>
      </c>
      <c r="H28" s="454" t="s">
        <v>153</v>
      </c>
      <c r="I28" s="454" t="s">
        <v>376</v>
      </c>
      <c r="J28" s="138" t="s">
        <v>342</v>
      </c>
      <c r="K28" s="139">
        <f>0.2*8487*12/'Average wages'!B19</f>
        <v>0.15116216938284802</v>
      </c>
      <c r="L28" s="451">
        <f>(0.275*8487*12-0.2*8487*12)/'Average wages'!B19</f>
        <v>5.6685813518567989E-2</v>
      </c>
      <c r="M28" s="451">
        <f>(0.335*8487*12-0.275*8487*12)/2/'Average wages'!B19</f>
        <v>2.2674325407427181E-2</v>
      </c>
      <c r="N28" s="451">
        <f>(0.39*8487*12-0.2*8487*12)/2/'Average wages'!B19</f>
        <v>7.1802030456852795E-2</v>
      </c>
      <c r="O28" s="454" t="s">
        <v>153</v>
      </c>
      <c r="P28" s="63" t="str">
        <f>"NIS 454/month ("&amp;TEXT(454*12*100/'Average wages'!B19,0)&amp;"% of AW) for single people without dependents aged under 55, NIS 636/month ("&amp;TEXT(636*12*100/'Average wages'!B19,0)&amp;"% of AW) for those aged under 55 with dependents, NIS 1182/month ("&amp;TEXT(1182*12*100/'Average wages'!B19,0)&amp;"% of AW) for single people without dependents aged 55 and over, NIS 1545/month ("&amp;TEXT(1545*12*100/'Average wages'!B19,0)&amp;"% of AW) for those aged 55 and over with dependents"</f>
        <v>NIS 454/month (4% of AW) for single people without dependents aged under 55, NIS 636/month (6% of AW) for those aged under 55 with dependents, NIS 1182/month (11% of AW) for single people without dependents aged 55 and over, NIS 1545/month (14% of AW) for those aged 55 and over with dependents</v>
      </c>
      <c r="Q28" s="464" t="s">
        <v>1224</v>
      </c>
      <c r="R28" s="454" t="s">
        <v>120</v>
      </c>
      <c r="S28" s="453" t="s">
        <v>377</v>
      </c>
      <c r="T28" s="454" t="s">
        <v>1232</v>
      </c>
      <c r="U28" s="92" t="s">
        <v>110</v>
      </c>
      <c r="V28" s="165" t="s">
        <v>110</v>
      </c>
    </row>
    <row r="29" spans="1:22" ht="120" x14ac:dyDescent="0.2">
      <c r="A29" s="156" t="s">
        <v>332</v>
      </c>
      <c r="B29" s="170" t="s">
        <v>378</v>
      </c>
      <c r="C29" s="73" t="s">
        <v>110</v>
      </c>
      <c r="D29" s="82" t="s">
        <v>120</v>
      </c>
      <c r="E29" s="73" t="s">
        <v>120</v>
      </c>
      <c r="F29" s="73" t="s">
        <v>120</v>
      </c>
      <c r="G29" s="73" t="s">
        <v>120</v>
      </c>
      <c r="H29" s="73" t="s">
        <v>120</v>
      </c>
      <c r="I29" s="73" t="s">
        <v>120</v>
      </c>
      <c r="J29" s="166" t="s">
        <v>350</v>
      </c>
      <c r="K29" s="167">
        <f>993760/'Average wages'!B21</f>
        <v>0.19985299012258531</v>
      </c>
      <c r="L29" s="168">
        <f>(1502108-993760)/'Average wages'!B21</f>
        <v>0.10223280049794317</v>
      </c>
      <c r="M29" s="168">
        <f>0.5*(2685994-1502108)/'Average wages'!B21</f>
        <v>0.11904441568601425</v>
      </c>
      <c r="N29" s="168">
        <f>0.5*(2357547.2-993760)/'Average wages'!B21</f>
        <v>0.13713419226518894</v>
      </c>
      <c r="O29" s="73" t="s">
        <v>379</v>
      </c>
      <c r="P29" s="82" t="str">
        <f>"JPY 15,200 per month ("&amp;TEXT(15200*12*100/'Average wages'!B21,0)&amp;"% of AW)"</f>
        <v>JPY 15,200 per month (4% of AW)</v>
      </c>
      <c r="Q29" s="72" t="str">
        <f>"100% between disregard level and JPY 19,000 per month ("&amp;TEXT(19000*12*100/'Average wages'!B21,0)&amp;"% of AW)
90% above this level"</f>
        <v>100% between disregard level and JPY 19,000 per month (5% of AW)
90% above this level</v>
      </c>
      <c r="R29" s="73" t="s">
        <v>341</v>
      </c>
      <c r="S29" s="74" t="s">
        <v>991</v>
      </c>
      <c r="T29" s="73" t="s">
        <v>1233</v>
      </c>
      <c r="U29" s="92" t="s">
        <v>110</v>
      </c>
      <c r="V29" s="165" t="s">
        <v>110</v>
      </c>
    </row>
    <row r="30" spans="1:22" ht="60" x14ac:dyDescent="0.2">
      <c r="A30" s="137" t="s">
        <v>78</v>
      </c>
      <c r="B30" s="160" t="s">
        <v>996</v>
      </c>
      <c r="C30" s="64" t="s">
        <v>120</v>
      </c>
      <c r="D30" s="63" t="s">
        <v>341</v>
      </c>
      <c r="E30" s="64" t="s">
        <v>341</v>
      </c>
      <c r="F30" s="64" t="s">
        <v>341</v>
      </c>
      <c r="G30" s="64" t="s">
        <v>153</v>
      </c>
      <c r="H30" s="64" t="s">
        <v>1195</v>
      </c>
      <c r="I30" s="64" t="s">
        <v>153</v>
      </c>
      <c r="J30" s="138" t="s">
        <v>342</v>
      </c>
      <c r="K30" s="139">
        <v>0.14099999999999999</v>
      </c>
      <c r="L30" s="451">
        <v>9.9000000000000005E-2</v>
      </c>
      <c r="M30" s="451">
        <v>7.0999999999999994E-2</v>
      </c>
      <c r="N30" s="451">
        <v>8.5000000000000006E-2</v>
      </c>
      <c r="O30" s="454" t="s">
        <v>380</v>
      </c>
      <c r="P30" s="63" t="s">
        <v>381</v>
      </c>
      <c r="Q30" s="464" t="s">
        <v>997</v>
      </c>
      <c r="R30" s="454" t="s">
        <v>341</v>
      </c>
      <c r="S30" s="453" t="s">
        <v>382</v>
      </c>
      <c r="T30" s="73" t="s">
        <v>110</v>
      </c>
      <c r="U30" s="92" t="s">
        <v>110</v>
      </c>
      <c r="V30" s="165" t="s">
        <v>110</v>
      </c>
    </row>
    <row r="31" spans="1:22" ht="108" x14ac:dyDescent="0.2">
      <c r="A31" s="137" t="s">
        <v>730</v>
      </c>
      <c r="B31" s="160" t="s">
        <v>383</v>
      </c>
      <c r="C31" s="64" t="s">
        <v>384</v>
      </c>
      <c r="D31" s="63" t="s">
        <v>341</v>
      </c>
      <c r="E31" s="64" t="s">
        <v>341</v>
      </c>
      <c r="F31" s="64" t="s">
        <v>341</v>
      </c>
      <c r="G31" s="64" t="s">
        <v>341</v>
      </c>
      <c r="H31" s="64" t="s">
        <v>153</v>
      </c>
      <c r="I31" s="64" t="s">
        <v>153</v>
      </c>
      <c r="J31" s="138" t="s">
        <v>342</v>
      </c>
      <c r="K31" s="139">
        <v>0.31978384077450628</v>
      </c>
      <c r="L31" s="451">
        <v>0.15372195222525298</v>
      </c>
      <c r="M31" s="451">
        <v>3.2996989730377214E-2</v>
      </c>
      <c r="N31" s="451">
        <v>3.2996989730377214E-2</v>
      </c>
      <c r="O31" s="454" t="s">
        <v>1210</v>
      </c>
      <c r="P31" s="63" t="s">
        <v>153</v>
      </c>
      <c r="Q31" s="464">
        <v>0.7</v>
      </c>
      <c r="R31" s="454" t="s">
        <v>341</v>
      </c>
      <c r="S31" s="453" t="s">
        <v>385</v>
      </c>
      <c r="T31" s="73" t="s">
        <v>110</v>
      </c>
      <c r="U31" s="92" t="s">
        <v>110</v>
      </c>
      <c r="V31" s="165" t="s">
        <v>110</v>
      </c>
    </row>
    <row r="32" spans="1:22" ht="60" x14ac:dyDescent="0.2">
      <c r="A32" s="137" t="s">
        <v>80</v>
      </c>
      <c r="B32" s="170" t="s">
        <v>1032</v>
      </c>
      <c r="C32" s="73" t="s">
        <v>1033</v>
      </c>
      <c r="D32" s="82" t="s">
        <v>341</v>
      </c>
      <c r="E32" s="73" t="s">
        <v>341</v>
      </c>
      <c r="F32" s="73" t="s">
        <v>341</v>
      </c>
      <c r="G32" s="73" t="s">
        <v>153</v>
      </c>
      <c r="H32" s="73" t="s">
        <v>153</v>
      </c>
      <c r="I32" s="73" t="s">
        <v>1196</v>
      </c>
      <c r="J32" s="166" t="s">
        <v>342</v>
      </c>
      <c r="K32" s="167">
        <f>11399/'Average wages'!B25</f>
        <v>0.23571133167907363</v>
      </c>
      <c r="L32" s="168">
        <f>(16284-11399)/'Average wages'!B25</f>
        <v>0.1010132340777502</v>
      </c>
      <c r="M32" s="168">
        <f>(16284-16284)/2/'Average wages'!B25</f>
        <v>0</v>
      </c>
      <c r="N32" s="168">
        <f>(14656-11399)/2/'Average wages'!B25</f>
        <v>3.3674524400330849E-2</v>
      </c>
      <c r="O32" s="73" t="s">
        <v>1215</v>
      </c>
      <c r="P32" s="82" t="str">
        <f>"None in general; municipality may grant disregard of 25% of earnings up to a maximum of EUR 194 per month ("&amp;TEXT(100*194*12/'Average wages'!B25,0)&amp;"% of AW) in first 6 months in new job"</f>
        <v>None in general; municipality may grant disregard of 25% of earnings up to a maximum of EUR 194 per month (5% of AW) in first 6 months in new job</v>
      </c>
      <c r="Q32" s="72">
        <v>1</v>
      </c>
      <c r="R32" s="73" t="s">
        <v>341</v>
      </c>
      <c r="S32" s="74" t="s">
        <v>386</v>
      </c>
      <c r="T32" s="73" t="s">
        <v>1234</v>
      </c>
      <c r="U32" s="73" t="s">
        <v>110</v>
      </c>
      <c r="V32" s="74" t="s">
        <v>110</v>
      </c>
    </row>
    <row r="33" spans="1:22" ht="60" x14ac:dyDescent="0.2">
      <c r="A33" s="142" t="s">
        <v>333</v>
      </c>
      <c r="B33" s="69" t="s">
        <v>1014</v>
      </c>
      <c r="C33" s="138">
        <v>18</v>
      </c>
      <c r="D33" s="63" t="s">
        <v>120</v>
      </c>
      <c r="E33" s="64" t="s">
        <v>341</v>
      </c>
      <c r="F33" s="64" t="s">
        <v>341</v>
      </c>
      <c r="G33" s="64" t="s">
        <v>153</v>
      </c>
      <c r="H33" s="64" t="s">
        <v>153</v>
      </c>
      <c r="I33" s="64" t="s">
        <v>1197</v>
      </c>
      <c r="J33" s="138" t="s">
        <v>342</v>
      </c>
      <c r="K33" s="139">
        <v>0.20499999999999999</v>
      </c>
      <c r="L33" s="451">
        <v>0.13700000000000001</v>
      </c>
      <c r="M33" s="451">
        <v>0</v>
      </c>
      <c r="N33" s="451">
        <v>4.7E-2</v>
      </c>
      <c r="O33" s="454" t="s">
        <v>1015</v>
      </c>
      <c r="P33" s="63" t="s">
        <v>1219</v>
      </c>
      <c r="Q33" s="464">
        <v>0.7</v>
      </c>
      <c r="R33" s="454" t="s">
        <v>120</v>
      </c>
      <c r="S33" s="453" t="s">
        <v>153</v>
      </c>
      <c r="T33" s="106" t="s">
        <v>1235</v>
      </c>
      <c r="U33" s="73" t="s">
        <v>110</v>
      </c>
      <c r="V33" s="74" t="s">
        <v>110</v>
      </c>
    </row>
    <row r="34" spans="1:22" ht="60" x14ac:dyDescent="0.2">
      <c r="A34" s="142" t="s">
        <v>1044</v>
      </c>
      <c r="B34" s="160" t="s">
        <v>1045</v>
      </c>
      <c r="C34" s="454" t="s">
        <v>110</v>
      </c>
      <c r="D34" s="63" t="s">
        <v>341</v>
      </c>
      <c r="E34" s="454" t="s">
        <v>341</v>
      </c>
      <c r="F34" s="454" t="s">
        <v>341</v>
      </c>
      <c r="G34" s="454" t="s">
        <v>341</v>
      </c>
      <c r="H34" s="454" t="s">
        <v>153</v>
      </c>
      <c r="I34" s="454" t="s">
        <v>387</v>
      </c>
      <c r="J34" s="138" t="s">
        <v>1205</v>
      </c>
      <c r="K34" s="167">
        <f>5600*12/'Average wages'!B27</f>
        <v>0.12493469745166681</v>
      </c>
      <c r="L34" s="168">
        <f>(9300-5600)*12/'Average wages'!B27</f>
        <v>8.2546139387708439E-2</v>
      </c>
      <c r="M34" s="168">
        <f>(9300+2150+2850-9300)/2*12/'Average wages'!B27</f>
        <v>5.5774418505208402E-2</v>
      </c>
      <c r="N34" s="141">
        <f>(5600+2150+2850-5600)/2*12/'Average wages'!B27</f>
        <v>5.5774418505208402E-2</v>
      </c>
      <c r="O34" s="454" t="s">
        <v>1216</v>
      </c>
      <c r="P34" s="63" t="s">
        <v>153</v>
      </c>
      <c r="Q34" s="464">
        <v>1</v>
      </c>
      <c r="R34" s="454" t="s">
        <v>341</v>
      </c>
      <c r="S34" s="453" t="s">
        <v>345</v>
      </c>
      <c r="T34" s="454" t="s">
        <v>1231</v>
      </c>
      <c r="U34" s="73" t="s">
        <v>110</v>
      </c>
      <c r="V34" s="74" t="s">
        <v>110</v>
      </c>
    </row>
    <row r="35" spans="1:22" ht="84" x14ac:dyDescent="0.2">
      <c r="A35" s="137" t="s">
        <v>334</v>
      </c>
      <c r="B35" s="166" t="s">
        <v>388</v>
      </c>
      <c r="C35" s="73">
        <v>18</v>
      </c>
      <c r="D35" s="82" t="s">
        <v>341</v>
      </c>
      <c r="E35" s="73" t="s">
        <v>341</v>
      </c>
      <c r="F35" s="73" t="s">
        <v>341</v>
      </c>
      <c r="G35" s="73" t="s">
        <v>341</v>
      </c>
      <c r="H35" s="73" t="s">
        <v>153</v>
      </c>
      <c r="I35" s="73" t="s">
        <v>120</v>
      </c>
      <c r="J35" s="166" t="s">
        <v>342</v>
      </c>
      <c r="K35" s="167">
        <v>0.14599999999999999</v>
      </c>
      <c r="L35" s="168">
        <v>0.1</v>
      </c>
      <c r="M35" s="168">
        <v>0.123</v>
      </c>
      <c r="N35" s="168">
        <v>0.111</v>
      </c>
      <c r="O35" s="73" t="s">
        <v>389</v>
      </c>
      <c r="P35" s="82" t="s">
        <v>153</v>
      </c>
      <c r="Q35" s="72">
        <v>1</v>
      </c>
      <c r="R35" s="73" t="s">
        <v>341</v>
      </c>
      <c r="S35" s="74" t="s">
        <v>345</v>
      </c>
      <c r="T35" s="73" t="s">
        <v>110</v>
      </c>
      <c r="U35" s="73" t="s">
        <v>110</v>
      </c>
      <c r="V35" s="74" t="s">
        <v>110</v>
      </c>
    </row>
    <row r="36" spans="1:22" ht="84" x14ac:dyDescent="0.2">
      <c r="A36" s="137" t="s">
        <v>83</v>
      </c>
      <c r="B36" s="160" t="s">
        <v>390</v>
      </c>
      <c r="C36" s="447" t="s">
        <v>1190</v>
      </c>
      <c r="D36" s="63" t="s">
        <v>341</v>
      </c>
      <c r="E36" s="64" t="s">
        <v>341</v>
      </c>
      <c r="F36" s="64" t="s">
        <v>341</v>
      </c>
      <c r="G36" s="64" t="s">
        <v>153</v>
      </c>
      <c r="H36" s="64" t="s">
        <v>391</v>
      </c>
      <c r="I36" s="64" t="s">
        <v>392</v>
      </c>
      <c r="J36" s="138" t="s">
        <v>342</v>
      </c>
      <c r="K36" s="139">
        <f>178.15*12/'Average wages'!B29</f>
        <v>0.12326928266480304</v>
      </c>
      <c r="L36" s="451">
        <f>K36*0.5</f>
        <v>6.163464133240152E-2</v>
      </c>
      <c r="M36" s="451">
        <f>K36*0.3</f>
        <v>3.6980784799440912E-2</v>
      </c>
      <c r="N36" s="451">
        <f>K36*0.3</f>
        <v>3.6980784799440912E-2</v>
      </c>
      <c r="O36" s="454" t="s">
        <v>153</v>
      </c>
      <c r="P36" s="63" t="s">
        <v>153</v>
      </c>
      <c r="Q36" s="464" t="s">
        <v>1225</v>
      </c>
      <c r="R36" s="454" t="s">
        <v>341</v>
      </c>
      <c r="S36" s="453" t="s">
        <v>393</v>
      </c>
      <c r="T36" s="73" t="s">
        <v>110</v>
      </c>
      <c r="U36" s="73" t="s">
        <v>110</v>
      </c>
      <c r="V36" s="74" t="s">
        <v>110</v>
      </c>
    </row>
    <row r="37" spans="1:22" ht="72" x14ac:dyDescent="0.2">
      <c r="A37" s="142" t="s">
        <v>335</v>
      </c>
      <c r="B37" s="160" t="s">
        <v>394</v>
      </c>
      <c r="C37" s="64" t="s">
        <v>110</v>
      </c>
      <c r="D37" s="63" t="s">
        <v>153</v>
      </c>
      <c r="E37" s="64" t="s">
        <v>153</v>
      </c>
      <c r="F37" s="64" t="s">
        <v>153</v>
      </c>
      <c r="G37" s="64" t="s">
        <v>153</v>
      </c>
      <c r="H37" s="64" t="s">
        <v>153</v>
      </c>
      <c r="I37" s="64" t="s">
        <v>153</v>
      </c>
      <c r="J37" s="138" t="s">
        <v>342</v>
      </c>
      <c r="K37" s="139">
        <f>61.6*12/'Average wages'!B30</f>
        <v>7.0924435540510977E-2</v>
      </c>
      <c r="L37" s="451">
        <f>(107.2-61.6)*12/'Average wages'!B30</f>
        <v>5.2502504231287349E-2</v>
      </c>
      <c r="M37" s="451">
        <f>((160.4-107.1+17.2)/2)*12/'Average wages'!B30</f>
        <v>4.0585817415633323E-2</v>
      </c>
      <c r="N37" s="451">
        <f>((117.2-61.6+17.2)/2)*12/'Average wages'!B30</f>
        <v>4.1909893728483756E-2</v>
      </c>
      <c r="O37" s="454" t="s">
        <v>892</v>
      </c>
      <c r="P37" s="63" t="s">
        <v>153</v>
      </c>
      <c r="Q37" s="464">
        <v>0.75</v>
      </c>
      <c r="R37" s="454" t="s">
        <v>341</v>
      </c>
      <c r="S37" s="453" t="s">
        <v>893</v>
      </c>
      <c r="T37" s="73" t="s">
        <v>110</v>
      </c>
      <c r="U37" s="73" t="s">
        <v>110</v>
      </c>
      <c r="V37" s="74" t="s">
        <v>110</v>
      </c>
    </row>
    <row r="38" spans="1:22" ht="96" x14ac:dyDescent="0.2">
      <c r="A38" s="142" t="s">
        <v>85</v>
      </c>
      <c r="B38" s="160" t="s">
        <v>395</v>
      </c>
      <c r="C38" s="64" t="s">
        <v>110</v>
      </c>
      <c r="D38" s="63" t="s">
        <v>341</v>
      </c>
      <c r="E38" s="64" t="s">
        <v>153</v>
      </c>
      <c r="F38" s="64" t="s">
        <v>341</v>
      </c>
      <c r="G38" s="64" t="s">
        <v>153</v>
      </c>
      <c r="H38" s="64" t="s">
        <v>153</v>
      </c>
      <c r="I38" s="64" t="s">
        <v>344</v>
      </c>
      <c r="J38" s="138" t="s">
        <v>342</v>
      </c>
      <c r="K38" s="139">
        <f>265.22*12/'Average wages'!B31</f>
        <v>0.17732560731000671</v>
      </c>
      <c r="L38" s="451">
        <f>132.61*12/'Average wages'!B31</f>
        <v>8.8662803655003355E-2</v>
      </c>
      <c r="M38" s="451">
        <f>(12*(212.17+185.65)/2)/'Average wages'!B31</f>
        <v>0.13299086249164252</v>
      </c>
      <c r="N38" s="451">
        <f>M38+26.52*12/'Average wages'!B31</f>
        <v>0.15072208602629819</v>
      </c>
      <c r="O38" s="454" t="s">
        <v>153</v>
      </c>
      <c r="P38" s="63" t="s">
        <v>1221</v>
      </c>
      <c r="Q38" s="464">
        <v>1</v>
      </c>
      <c r="R38" s="454" t="s">
        <v>341</v>
      </c>
      <c r="S38" s="453" t="s">
        <v>396</v>
      </c>
      <c r="T38" s="454" t="s">
        <v>110</v>
      </c>
      <c r="U38" s="73" t="s">
        <v>110</v>
      </c>
      <c r="V38" s="453" t="s">
        <v>1241</v>
      </c>
    </row>
    <row r="39" spans="1:22" ht="24" x14ac:dyDescent="0.2">
      <c r="A39" s="142" t="s">
        <v>336</v>
      </c>
      <c r="B39" s="160" t="s">
        <v>1018</v>
      </c>
      <c r="C39" s="64">
        <v>26</v>
      </c>
      <c r="D39" s="63" t="s">
        <v>341</v>
      </c>
      <c r="E39" s="64" t="s">
        <v>341</v>
      </c>
      <c r="F39" s="64" t="s">
        <v>341</v>
      </c>
      <c r="G39" s="64" t="s">
        <v>153</v>
      </c>
      <c r="H39" s="64" t="s">
        <v>153</v>
      </c>
      <c r="I39" s="64" t="s">
        <v>153</v>
      </c>
      <c r="J39" s="138" t="s">
        <v>350</v>
      </c>
      <c r="K39" s="139">
        <v>0.17199999999999999</v>
      </c>
      <c r="L39" s="451">
        <v>5.1948232207635496E-2</v>
      </c>
      <c r="M39" s="451">
        <v>1.0210292023059262E-2</v>
      </c>
      <c r="N39" s="451">
        <v>3.618440812687701E-2</v>
      </c>
      <c r="O39" s="454" t="s">
        <v>153</v>
      </c>
      <c r="P39" s="63" t="s">
        <v>153</v>
      </c>
      <c r="Q39" s="464">
        <v>1</v>
      </c>
      <c r="R39" s="454" t="s">
        <v>341</v>
      </c>
      <c r="S39" s="453" t="s">
        <v>397</v>
      </c>
      <c r="T39" s="73" t="s">
        <v>110</v>
      </c>
      <c r="U39" s="73" t="s">
        <v>110</v>
      </c>
      <c r="V39" s="74" t="s">
        <v>110</v>
      </c>
    </row>
    <row r="40" spans="1:22" ht="72" x14ac:dyDescent="0.2">
      <c r="A40" s="137" t="s">
        <v>87</v>
      </c>
      <c r="B40" s="170" t="s">
        <v>398</v>
      </c>
      <c r="C40" s="73" t="s">
        <v>110</v>
      </c>
      <c r="D40" s="82" t="s">
        <v>341</v>
      </c>
      <c r="E40" s="73" t="s">
        <v>341</v>
      </c>
      <c r="F40" s="73" t="s">
        <v>341</v>
      </c>
      <c r="G40" s="73" t="s">
        <v>153</v>
      </c>
      <c r="H40" s="73" t="s">
        <v>153</v>
      </c>
      <c r="I40" s="73" t="s">
        <v>1204</v>
      </c>
      <c r="J40" s="166" t="s">
        <v>342</v>
      </c>
      <c r="K40" s="167">
        <f>(2950+930)*12/'Average wages'!B33</f>
        <v>0.11406508765568807</v>
      </c>
      <c r="L40" s="168">
        <f>(5320-2950+1040-930)*12/'Average wages'!B33</f>
        <v>7.2907581800542881E-2</v>
      </c>
      <c r="M40" s="168">
        <f>(1730+(1490-1040)/2)*12/'Average wages'!B33</f>
        <v>5.7473517104863446E-2</v>
      </c>
      <c r="N40" s="475">
        <f>(1730+(1310-930)/2)*12/'Average wages'!B33</f>
        <v>5.6444579458484814E-2</v>
      </c>
      <c r="O40" s="73" t="s">
        <v>399</v>
      </c>
      <c r="P40" s="82" t="s">
        <v>153</v>
      </c>
      <c r="Q40" s="72" t="s">
        <v>1226</v>
      </c>
      <c r="R40" s="73" t="s">
        <v>341</v>
      </c>
      <c r="S40" s="74" t="s">
        <v>1005</v>
      </c>
      <c r="T40" s="73" t="s">
        <v>1006</v>
      </c>
      <c r="U40" s="73" t="s">
        <v>1007</v>
      </c>
      <c r="V40" s="74" t="s">
        <v>110</v>
      </c>
    </row>
    <row r="41" spans="1:22" ht="72" x14ac:dyDescent="0.2">
      <c r="A41" s="142" t="s">
        <v>337</v>
      </c>
      <c r="B41" s="160" t="s">
        <v>1078</v>
      </c>
      <c r="C41" s="454" t="s">
        <v>120</v>
      </c>
      <c r="D41" s="63" t="s">
        <v>341</v>
      </c>
      <c r="E41" s="454" t="s">
        <v>341</v>
      </c>
      <c r="F41" s="454" t="s">
        <v>341</v>
      </c>
      <c r="G41" s="454" t="s">
        <v>153</v>
      </c>
      <c r="H41" s="454" t="s">
        <v>1079</v>
      </c>
      <c r="I41" s="454" t="s">
        <v>1198</v>
      </c>
      <c r="J41" s="138" t="s">
        <v>1206</v>
      </c>
      <c r="K41" s="139">
        <f>986*12/'Average wages'!B34</f>
        <v>0.13628196268140982</v>
      </c>
      <c r="L41" s="451">
        <f>(1509*12-986*12)/'Average wages'!B34</f>
        <v>7.2287491361437459E-2</v>
      </c>
      <c r="M41" s="451">
        <f>(2110*12-1509*12)/2/'Average wages'!B34</f>
        <v>4.1534208707671043E-2</v>
      </c>
      <c r="N41" s="451">
        <f>(1834*12-986*12)/2/'Average wages'!B34</f>
        <v>5.8604008293020045E-2</v>
      </c>
      <c r="O41" s="454" t="s">
        <v>400</v>
      </c>
      <c r="P41" s="63" t="str">
        <f>"CHF 400/month ("&amp;TEXT(100*400*12/'Average wages'!B34,0)&amp;"% of AW)"</f>
        <v>CHF 400/month (6% of AW)</v>
      </c>
      <c r="Q41" s="464">
        <v>1</v>
      </c>
      <c r="R41" s="454" t="s">
        <v>341</v>
      </c>
      <c r="S41" s="453" t="s">
        <v>401</v>
      </c>
      <c r="T41" s="73" t="s">
        <v>110</v>
      </c>
      <c r="U41" s="73" t="s">
        <v>110</v>
      </c>
      <c r="V41" s="74" t="s">
        <v>110</v>
      </c>
    </row>
    <row r="42" spans="1:22" ht="96" x14ac:dyDescent="0.2">
      <c r="A42" s="142" t="s">
        <v>974</v>
      </c>
      <c r="B42" s="170" t="str">
        <f>'Unemployment Assistance'!B28</f>
        <v>Jobseeker's Allowance (income-based)</v>
      </c>
      <c r="C42" s="73">
        <v>16</v>
      </c>
      <c r="D42" s="82" t="s">
        <v>341</v>
      </c>
      <c r="E42" s="73" t="s">
        <v>341</v>
      </c>
      <c r="F42" s="73" t="s">
        <v>341</v>
      </c>
      <c r="G42" s="73" t="s">
        <v>341</v>
      </c>
      <c r="H42" s="73" t="s">
        <v>153</v>
      </c>
      <c r="I42" s="73" t="s">
        <v>1199</v>
      </c>
      <c r="J42" s="166" t="s">
        <v>342</v>
      </c>
      <c r="K42" s="167">
        <f>72.4*52/'Average wages'!B36</f>
        <v>0.1071981776765376</v>
      </c>
      <c r="L42" s="168">
        <f>(113.7-72.4)*52/'Average wages'!B36</f>
        <v>6.1150341685649201E-2</v>
      </c>
      <c r="M42" s="168">
        <v>0</v>
      </c>
      <c r="N42" s="168">
        <v>0</v>
      </c>
      <c r="O42" s="73" t="s">
        <v>153</v>
      </c>
      <c r="P42" s="82" t="str">
        <f>"GBP 5/10/20 ("&amp;TEXT(5*52*100/'Average wages'!B36,"0.0")&amp;"/"&amp;TEXT(10*52*100/'Average wages'!B36,"0.0")&amp;"/"&amp;TEXT(20*52*100/'Average wages'!B36,"0.0")&amp;"% of AW) per week for a single/couple/lone parent"</f>
        <v>GBP 5/10/20 (0.7/1.5/3.0% of AW) per week for a single/couple/lone parent</v>
      </c>
      <c r="Q42" s="72" t="s">
        <v>402</v>
      </c>
      <c r="R42" s="73" t="s">
        <v>341</v>
      </c>
      <c r="S42" s="74" t="s">
        <v>377</v>
      </c>
      <c r="T42" s="73" t="str">
        <f>'Unemployment Assistance'!L28</f>
        <v>G: - lower benefit amounts for under 18 year olds, and single people without children aged 18 to 24</v>
      </c>
      <c r="U42" s="73" t="s">
        <v>110</v>
      </c>
      <c r="V42" s="74" t="s">
        <v>110</v>
      </c>
    </row>
    <row r="43" spans="1:22" ht="120" x14ac:dyDescent="0.2">
      <c r="A43" s="156" t="s">
        <v>1024</v>
      </c>
      <c r="B43" s="145" t="s">
        <v>403</v>
      </c>
      <c r="C43" s="146" t="s">
        <v>110</v>
      </c>
      <c r="D43" s="147" t="s">
        <v>153</v>
      </c>
      <c r="E43" s="146" t="s">
        <v>153</v>
      </c>
      <c r="F43" s="146" t="s">
        <v>153</v>
      </c>
      <c r="G43" s="146" t="s">
        <v>153</v>
      </c>
      <c r="H43" s="146" t="s">
        <v>1025</v>
      </c>
      <c r="I43" s="146" t="s">
        <v>153</v>
      </c>
      <c r="J43" s="145" t="s">
        <v>342</v>
      </c>
      <c r="K43" s="139">
        <f>189*12/'Average wages'!B37</f>
        <v>4.5270409858889263E-2</v>
      </c>
      <c r="L43" s="168">
        <f>(347-189)*12/'Average wages'!B37</f>
        <v>3.7845104538119068E-2</v>
      </c>
      <c r="M43" s="168">
        <f>(632-347)/2*12/'Average wages'!B37</f>
        <v>3.4132451877733963E-2</v>
      </c>
      <c r="N43" s="168">
        <f>(497-189)/2*12/'Average wages'!B37</f>
        <v>3.6887000625761619E-2</v>
      </c>
      <c r="O43" s="146" t="s">
        <v>153</v>
      </c>
      <c r="P43" s="147" t="str">
        <f>"USD 152/month ("&amp;TEXT(100*152*12/'Average wages'!B37,0)&amp;"% of AW) for households with 3 people or fewer
USD 163/month ("&amp;TEXT(100*163*12/'Average wages'!B37,0)&amp;"% of AW) for 4-person households
USD 191/month ("&amp;TEXT(100*191*12/'Average wages'!B37,0)&amp;"% of AW) for 5-person households
USD 219/month ("&amp;TEXT(100*219*12/'Average wages'!B37,0)&amp;"% of AW) for households of 6 people or more"</f>
        <v>USD 152/month (4% of AW) for households with 3 people or fewer
USD 163/month (4% of AW) for 4-person households
USD 191/month (5% of AW) for 5-person households
USD 219/month (5% of AW) for households of 6 people or more</v>
      </c>
      <c r="Q43" s="148" t="s">
        <v>1230</v>
      </c>
      <c r="R43" s="146" t="s">
        <v>341</v>
      </c>
      <c r="S43" s="149" t="s">
        <v>1026</v>
      </c>
      <c r="T43" s="162" t="s">
        <v>110</v>
      </c>
      <c r="U43" s="73" t="s">
        <v>110</v>
      </c>
      <c r="V43" s="74" t="s">
        <v>110</v>
      </c>
    </row>
    <row r="44" spans="1:22" x14ac:dyDescent="0.2">
      <c r="A44" s="158" t="s">
        <v>92</v>
      </c>
      <c r="B44" s="145"/>
      <c r="C44" s="146"/>
      <c r="D44" s="147"/>
      <c r="E44" s="146"/>
      <c r="F44" s="146"/>
      <c r="G44" s="146"/>
      <c r="H44" s="146"/>
      <c r="I44" s="146"/>
      <c r="J44" s="145"/>
      <c r="K44" s="154"/>
      <c r="L44" s="155"/>
      <c r="M44" s="155"/>
      <c r="N44" s="155"/>
      <c r="O44" s="146"/>
      <c r="P44" s="146"/>
      <c r="Q44" s="148"/>
      <c r="R44" s="146"/>
      <c r="S44" s="146"/>
      <c r="T44" s="146"/>
      <c r="U44" s="146"/>
      <c r="V44" s="149"/>
    </row>
    <row r="45" spans="1:22" ht="108" x14ac:dyDescent="0.2">
      <c r="A45" s="159" t="s">
        <v>93</v>
      </c>
      <c r="B45" s="170" t="s">
        <v>404</v>
      </c>
      <c r="C45" s="73">
        <v>17</v>
      </c>
      <c r="D45" s="172" t="s">
        <v>341</v>
      </c>
      <c r="E45" s="73" t="s">
        <v>341</v>
      </c>
      <c r="F45" s="73" t="s">
        <v>341</v>
      </c>
      <c r="G45" s="73" t="s">
        <v>120</v>
      </c>
      <c r="H45" s="73" t="s">
        <v>405</v>
      </c>
      <c r="I45" s="73" t="s">
        <v>1200</v>
      </c>
      <c r="J45" s="166" t="s">
        <v>342</v>
      </c>
      <c r="K45" s="167">
        <f>65*12*0.73/'Average wages'!B39</f>
        <v>5.6577901430842605E-2</v>
      </c>
      <c r="L45" s="168">
        <f>0.59*65*12/'Average wages'!B39</f>
        <v>4.5727344992050882E-2</v>
      </c>
      <c r="M45" s="168">
        <f>0.91*65*12/'Average wages'!B39</f>
        <v>7.0528616852146259E-2</v>
      </c>
      <c r="N45" s="475">
        <f>((2*0.91+1-0.73)*65*12)/(2*'Average wages'!B39)</f>
        <v>8.0991653418124018E-2</v>
      </c>
      <c r="O45" s="73" t="s">
        <v>406</v>
      </c>
      <c r="P45" s="82" t="s">
        <v>153</v>
      </c>
      <c r="Q45" s="72">
        <v>1</v>
      </c>
      <c r="R45" s="73" t="s">
        <v>341</v>
      </c>
      <c r="S45" s="74" t="s">
        <v>153</v>
      </c>
      <c r="T45" s="73" t="s">
        <v>110</v>
      </c>
      <c r="U45" s="73" t="s">
        <v>407</v>
      </c>
      <c r="V45" s="74" t="s">
        <v>110</v>
      </c>
    </row>
    <row r="46" spans="1:22" ht="24" x14ac:dyDescent="0.2">
      <c r="A46" s="159" t="s">
        <v>94</v>
      </c>
      <c r="B46" s="161" t="s">
        <v>919</v>
      </c>
      <c r="C46" s="64" t="s">
        <v>153</v>
      </c>
      <c r="D46" s="63" t="s">
        <v>341</v>
      </c>
      <c r="E46" s="64" t="s">
        <v>153</v>
      </c>
      <c r="F46" s="64" t="s">
        <v>153</v>
      </c>
      <c r="G46" s="64" t="s">
        <v>153</v>
      </c>
      <c r="H46" s="64" t="s">
        <v>153</v>
      </c>
      <c r="I46" s="64" t="s">
        <v>153</v>
      </c>
      <c r="J46" s="138" t="s">
        <v>342</v>
      </c>
      <c r="K46" s="139">
        <v>0.112</v>
      </c>
      <c r="L46" s="451">
        <v>2.1999999999999999E-2</v>
      </c>
      <c r="M46" s="451">
        <v>4.4999999999999998E-2</v>
      </c>
      <c r="N46" s="451">
        <v>4.4999999999999998E-2</v>
      </c>
      <c r="O46" s="454" t="s">
        <v>1211</v>
      </c>
      <c r="P46" s="63" t="s">
        <v>153</v>
      </c>
      <c r="Q46" s="464">
        <v>1</v>
      </c>
      <c r="R46" s="454" t="s">
        <v>341</v>
      </c>
      <c r="S46" s="453" t="s">
        <v>361</v>
      </c>
      <c r="T46" s="454" t="s">
        <v>110</v>
      </c>
      <c r="U46" s="73" t="s">
        <v>110</v>
      </c>
      <c r="V46" s="74" t="s">
        <v>110</v>
      </c>
    </row>
    <row r="47" spans="1:22" ht="120" x14ac:dyDescent="0.2">
      <c r="A47" s="159" t="s">
        <v>882</v>
      </c>
      <c r="B47" s="161" t="s">
        <v>951</v>
      </c>
      <c r="C47" s="454" t="s">
        <v>1191</v>
      </c>
      <c r="D47" s="63" t="s">
        <v>341</v>
      </c>
      <c r="E47" s="454" t="s">
        <v>153</v>
      </c>
      <c r="F47" s="454" t="s">
        <v>341</v>
      </c>
      <c r="G47" s="454" t="s">
        <v>153</v>
      </c>
      <c r="H47" s="454" t="s">
        <v>153</v>
      </c>
      <c r="I47" s="454" t="s">
        <v>153</v>
      </c>
      <c r="J47" s="138" t="s">
        <v>342</v>
      </c>
      <c r="K47" s="139">
        <v>0.254</v>
      </c>
      <c r="L47" s="451">
        <v>0.127</v>
      </c>
      <c r="M47" s="451">
        <v>7.5999999999999998E-2</v>
      </c>
      <c r="N47" s="451">
        <v>0</v>
      </c>
      <c r="O47" s="454" t="s">
        <v>1217</v>
      </c>
      <c r="P47" s="63" t="str">
        <f>"EUR 50 per month ("&amp;TEXT(50*12/'Average wages'!B41,"0%")&amp;" of AW)"</f>
        <v>EUR 50 per month (3% of AW)</v>
      </c>
      <c r="Q47" s="464" t="str">
        <f>"60% up to EUR 200/month ("&amp;TEXT(200*12/'Average wages'!B41,"0%")&amp;" of AW)
80% between EUR 200/month and EUR 500/month ("&amp;TEXT(500*12/'Average wages'!B41,"0%")&amp;" of AW)
100% thereafter"</f>
        <v>60% up to EUR 200/month (11% of AW)
80% between EUR 200/month and EUR 500/month (26% of AW)
100% thereafter</v>
      </c>
      <c r="R47" s="454" t="s">
        <v>341</v>
      </c>
      <c r="S47" s="453" t="s">
        <v>953</v>
      </c>
      <c r="T47" s="454" t="s">
        <v>1238</v>
      </c>
      <c r="U47" s="73" t="s">
        <v>110</v>
      </c>
      <c r="V47" s="74" t="s">
        <v>1242</v>
      </c>
    </row>
    <row r="48" spans="1:22" ht="144" x14ac:dyDescent="0.2">
      <c r="A48" s="159" t="s">
        <v>95</v>
      </c>
      <c r="B48" s="161" t="s">
        <v>408</v>
      </c>
      <c r="C48" s="64" t="s">
        <v>120</v>
      </c>
      <c r="D48" s="63" t="s">
        <v>341</v>
      </c>
      <c r="E48" s="64" t="s">
        <v>120</v>
      </c>
      <c r="F48" s="64" t="s">
        <v>341</v>
      </c>
      <c r="G48" s="64" t="s">
        <v>153</v>
      </c>
      <c r="H48" s="64" t="s">
        <v>153</v>
      </c>
      <c r="I48" s="64" t="s">
        <v>153</v>
      </c>
      <c r="J48" s="138" t="s">
        <v>872</v>
      </c>
      <c r="K48" s="502" t="s">
        <v>873</v>
      </c>
      <c r="L48" s="143" t="s">
        <v>873</v>
      </c>
      <c r="M48" s="143" t="s">
        <v>874</v>
      </c>
      <c r="N48" s="143" t="s">
        <v>874</v>
      </c>
      <c r="O48" s="454" t="s">
        <v>952</v>
      </c>
      <c r="P48" s="63" t="s">
        <v>153</v>
      </c>
      <c r="Q48" s="464">
        <v>1</v>
      </c>
      <c r="R48" s="454" t="s">
        <v>341</v>
      </c>
      <c r="S48" s="453" t="s">
        <v>877</v>
      </c>
      <c r="T48" s="73" t="s">
        <v>110</v>
      </c>
      <c r="U48" s="73" t="s">
        <v>110</v>
      </c>
      <c r="V48" s="74" t="s">
        <v>110</v>
      </c>
    </row>
    <row r="49" spans="1:22" ht="108" x14ac:dyDescent="0.2">
      <c r="A49" s="173" t="s">
        <v>96</v>
      </c>
      <c r="B49" s="170" t="s">
        <v>960</v>
      </c>
      <c r="C49" s="73" t="s">
        <v>120</v>
      </c>
      <c r="D49" s="82" t="s">
        <v>341</v>
      </c>
      <c r="E49" s="73" t="s">
        <v>341</v>
      </c>
      <c r="F49" s="73" t="s">
        <v>341</v>
      </c>
      <c r="G49" s="73" t="s">
        <v>153</v>
      </c>
      <c r="H49" s="73" t="s">
        <v>1201</v>
      </c>
      <c r="I49" s="73" t="s">
        <v>153</v>
      </c>
      <c r="J49" s="166" t="s">
        <v>342</v>
      </c>
      <c r="K49" s="167">
        <v>0.15</v>
      </c>
      <c r="L49" s="168">
        <v>0.12</v>
      </c>
      <c r="M49" s="168">
        <v>0.105</v>
      </c>
      <c r="N49" s="168">
        <v>0.112</v>
      </c>
      <c r="O49" s="73" t="s">
        <v>961</v>
      </c>
      <c r="P49" s="82" t="s">
        <v>153</v>
      </c>
      <c r="Q49" s="72" t="s">
        <v>962</v>
      </c>
      <c r="R49" s="73" t="s">
        <v>341</v>
      </c>
      <c r="S49" s="74" t="s">
        <v>409</v>
      </c>
      <c r="T49" s="73" t="s">
        <v>110</v>
      </c>
      <c r="U49" s="73" t="s">
        <v>963</v>
      </c>
      <c r="V49" s="74" t="s">
        <v>110</v>
      </c>
    </row>
    <row r="50" spans="1:22" ht="132" x14ac:dyDescent="0.2">
      <c r="A50" s="173" t="s">
        <v>277</v>
      </c>
      <c r="B50" s="170" t="s">
        <v>410</v>
      </c>
      <c r="C50" s="73">
        <v>18</v>
      </c>
      <c r="D50" s="82" t="s">
        <v>341</v>
      </c>
      <c r="E50" s="73" t="s">
        <v>153</v>
      </c>
      <c r="F50" s="73" t="s">
        <v>341</v>
      </c>
      <c r="G50" s="73" t="s">
        <v>153</v>
      </c>
      <c r="H50" s="73" t="s">
        <v>153</v>
      </c>
      <c r="I50" s="73" t="s">
        <v>153</v>
      </c>
      <c r="J50" s="166" t="s">
        <v>342</v>
      </c>
      <c r="K50" s="167">
        <f>5894.49/'Average wages'!B43</f>
        <v>0.28753609756097559</v>
      </c>
      <c r="L50" s="168">
        <f>(6503.21-5894.49)/'Average wages'!B43</f>
        <v>2.9693658536585378E-2</v>
      </c>
      <c r="M50" s="168">
        <f>(6928.2-6503.21)/('Average wages'!B43*2)</f>
        <v>1.0365609756097556E-2</v>
      </c>
      <c r="N50" s="171" t="s">
        <v>1212</v>
      </c>
      <c r="O50" s="73" t="s">
        <v>153</v>
      </c>
      <c r="P50" s="82" t="s">
        <v>153</v>
      </c>
      <c r="Q50" s="72" t="str">
        <f>"100%
Benefit fully withdrawn if income above threshold of EUR 4105 ("&amp;TEXT(4105/'Average wages'!B43,"0%")&amp;" of AW)"</f>
        <v>100%
Benefit fully withdrawn if income above threshold of EUR 4105 (20% of AW)</v>
      </c>
      <c r="R50" s="73" t="s">
        <v>341</v>
      </c>
      <c r="S50" s="74" t="s">
        <v>411</v>
      </c>
      <c r="T50" s="73" t="s">
        <v>110</v>
      </c>
      <c r="U50" s="73" t="s">
        <v>110</v>
      </c>
      <c r="V50" s="74" t="s">
        <v>223</v>
      </c>
    </row>
    <row r="51" spans="1:22" ht="72" x14ac:dyDescent="0.2">
      <c r="A51" s="137" t="s">
        <v>97</v>
      </c>
      <c r="B51" s="174" t="s">
        <v>412</v>
      </c>
      <c r="C51" s="175" t="s">
        <v>413</v>
      </c>
      <c r="D51" s="176" t="s">
        <v>120</v>
      </c>
      <c r="E51" s="175" t="s">
        <v>153</v>
      </c>
      <c r="F51" s="175" t="s">
        <v>153</v>
      </c>
      <c r="G51" s="175" t="s">
        <v>341</v>
      </c>
      <c r="H51" s="175" t="s">
        <v>153</v>
      </c>
      <c r="I51" s="175" t="s">
        <v>153</v>
      </c>
      <c r="J51" s="177" t="s">
        <v>342</v>
      </c>
      <c r="K51" s="139">
        <f>142*12/'Average wages'!B44</f>
        <v>6.1631944444444448E-2</v>
      </c>
      <c r="L51" s="451">
        <f>(255-142)*12/'Average wages'!B44</f>
        <v>4.9045138888888888E-2</v>
      </c>
      <c r="M51" s="451">
        <f>(442-255)*12/(2*'Average wages'!B44)</f>
        <v>4.0581597222222224E-2</v>
      </c>
      <c r="N51" s="143">
        <f>(357-142)*12/('Average wages'!B44*2)</f>
        <v>4.6657986111111112E-2</v>
      </c>
      <c r="O51" s="175" t="s">
        <v>153</v>
      </c>
      <c r="P51" s="176" t="s">
        <v>1227</v>
      </c>
      <c r="Q51" s="175" t="s">
        <v>1228</v>
      </c>
      <c r="R51" s="175" t="s">
        <v>341</v>
      </c>
      <c r="S51" s="178" t="s">
        <v>345</v>
      </c>
      <c r="T51" s="175" t="s">
        <v>110</v>
      </c>
      <c r="U51" s="175" t="s">
        <v>110</v>
      </c>
      <c r="V51" s="178" t="s">
        <v>1243</v>
      </c>
    </row>
    <row r="52" spans="1:22" x14ac:dyDescent="0.2">
      <c r="A52" s="179" t="s">
        <v>98</v>
      </c>
      <c r="B52" s="180"/>
      <c r="C52" s="46"/>
      <c r="D52" s="46"/>
      <c r="E52" s="181"/>
      <c r="F52" s="182"/>
      <c r="G52" s="182"/>
      <c r="H52" s="182"/>
      <c r="I52" s="182"/>
      <c r="J52" s="46"/>
      <c r="K52" s="46"/>
      <c r="L52" s="46"/>
      <c r="M52" s="46"/>
      <c r="N52" s="46"/>
      <c r="O52" s="183"/>
      <c r="P52" s="184"/>
      <c r="Q52" s="184"/>
      <c r="R52" s="184"/>
      <c r="S52" s="184"/>
      <c r="T52" s="35"/>
      <c r="U52" s="35"/>
      <c r="V52" s="35"/>
    </row>
    <row r="53" spans="1:22" x14ac:dyDescent="0.2">
      <c r="A53" s="12" t="str">
        <f>'Unemployment Insurance'!A53</f>
        <v>1. "n.a." equals not applicable, "..." equals no information available.</v>
      </c>
      <c r="B53" s="12"/>
      <c r="C53" s="12"/>
      <c r="D53" s="12"/>
      <c r="E53" s="12"/>
      <c r="F53" s="12"/>
      <c r="G53" s="12"/>
      <c r="H53" s="12"/>
      <c r="I53" s="12"/>
      <c r="J53" s="12"/>
      <c r="K53" s="12"/>
      <c r="L53" s="12"/>
      <c r="M53" s="12"/>
      <c r="N53" s="12"/>
      <c r="O53" s="185"/>
      <c r="P53" s="12"/>
      <c r="Q53" s="12"/>
      <c r="R53" s="12"/>
      <c r="S53" s="12"/>
      <c r="T53" s="12"/>
      <c r="U53" s="12"/>
      <c r="V53" s="12"/>
    </row>
    <row r="54" spans="1:22" x14ac:dyDescent="0.2">
      <c r="A54" s="48" t="s">
        <v>415</v>
      </c>
      <c r="B54" s="180"/>
      <c r="C54" s="46"/>
      <c r="D54" s="46"/>
      <c r="E54" s="181"/>
      <c r="F54" s="182"/>
      <c r="G54" s="182"/>
      <c r="H54" s="182"/>
      <c r="I54" s="182"/>
      <c r="J54" s="46"/>
      <c r="K54" s="46"/>
      <c r="L54" s="46"/>
      <c r="M54" s="46"/>
      <c r="N54" s="46"/>
      <c r="O54" s="183"/>
      <c r="P54" s="184"/>
      <c r="Q54" s="184"/>
      <c r="R54" s="184"/>
      <c r="S54" s="184"/>
      <c r="T54" s="35"/>
      <c r="U54" s="35"/>
      <c r="V54" s="35"/>
    </row>
    <row r="55" spans="1:22" ht="12.75" customHeight="1" x14ac:dyDescent="0.2">
      <c r="A55" s="569" t="s">
        <v>1075</v>
      </c>
      <c r="B55" s="569"/>
      <c r="C55" s="569"/>
      <c r="D55" s="569"/>
      <c r="E55" s="569"/>
      <c r="F55" s="569"/>
      <c r="G55" s="569"/>
      <c r="H55" s="569"/>
      <c r="I55" s="569"/>
      <c r="J55" s="569"/>
      <c r="K55" s="569"/>
      <c r="L55" s="569"/>
      <c r="M55" s="569"/>
      <c r="N55" s="569"/>
      <c r="O55" s="569"/>
      <c r="P55" s="569"/>
      <c r="Q55" s="569"/>
      <c r="R55" s="569"/>
      <c r="S55" s="569"/>
      <c r="T55" s="569"/>
      <c r="U55" s="569"/>
      <c r="V55" s="569"/>
    </row>
    <row r="56" spans="1:22" x14ac:dyDescent="0.2">
      <c r="A56" s="37" t="s">
        <v>416</v>
      </c>
      <c r="B56" s="35"/>
      <c r="C56" s="35"/>
      <c r="D56" s="35"/>
      <c r="E56" s="35"/>
      <c r="F56" s="35"/>
      <c r="G56" s="35"/>
      <c r="H56" s="35"/>
      <c r="I56" s="35"/>
      <c r="J56" s="35"/>
      <c r="K56" s="35"/>
      <c r="L56" s="35"/>
      <c r="M56" s="35"/>
      <c r="N56" s="35"/>
      <c r="O56" s="186"/>
      <c r="P56" s="35"/>
      <c r="Q56" s="35"/>
      <c r="R56" s="35"/>
      <c r="S56" s="35"/>
      <c r="T56" s="35"/>
      <c r="U56" s="35"/>
      <c r="V56" s="35"/>
    </row>
    <row r="57" spans="1:22" x14ac:dyDescent="0.2">
      <c r="A57" s="37" t="s">
        <v>931</v>
      </c>
      <c r="B57" s="35"/>
      <c r="C57" s="35"/>
      <c r="D57" s="35"/>
      <c r="E57" s="35"/>
      <c r="F57" s="35"/>
      <c r="G57" s="35"/>
      <c r="H57" s="35"/>
      <c r="I57" s="35"/>
      <c r="J57" s="35"/>
      <c r="K57" s="35"/>
      <c r="L57" s="35"/>
      <c r="M57" s="35"/>
      <c r="N57" s="35"/>
      <c r="O57" s="186"/>
      <c r="P57" s="35"/>
      <c r="Q57" s="35"/>
      <c r="R57" s="35"/>
      <c r="S57" s="35"/>
      <c r="T57" s="35"/>
      <c r="U57" s="35"/>
      <c r="V57" s="35"/>
    </row>
    <row r="58" spans="1:22" x14ac:dyDescent="0.2">
      <c r="A58" s="12" t="s">
        <v>932</v>
      </c>
      <c r="B58" s="35"/>
      <c r="C58" s="35"/>
      <c r="D58" s="35"/>
      <c r="E58" s="35"/>
      <c r="F58" s="35"/>
      <c r="G58" s="35"/>
      <c r="H58" s="35"/>
      <c r="I58" s="35"/>
      <c r="J58" s="35"/>
      <c r="K58" s="35"/>
      <c r="L58" s="35"/>
      <c r="M58" s="35"/>
      <c r="N58" s="35"/>
      <c r="O58" s="186"/>
      <c r="P58" s="35"/>
      <c r="Q58" s="35"/>
      <c r="R58" s="35"/>
      <c r="S58" s="35"/>
      <c r="T58" s="35"/>
      <c r="U58" s="35"/>
      <c r="V58" s="35"/>
    </row>
    <row r="59" spans="1:22" x14ac:dyDescent="0.2">
      <c r="A59" s="12" t="s">
        <v>946</v>
      </c>
      <c r="B59" s="35"/>
      <c r="C59" s="35"/>
      <c r="D59" s="35"/>
      <c r="E59" s="35"/>
      <c r="F59" s="35"/>
      <c r="G59" s="35"/>
      <c r="H59" s="35"/>
      <c r="I59" s="35"/>
      <c r="J59" s="35"/>
      <c r="K59" s="35"/>
      <c r="L59" s="35"/>
      <c r="M59" s="35"/>
      <c r="N59" s="35"/>
      <c r="O59" s="186"/>
      <c r="P59" s="35"/>
      <c r="Q59" s="35"/>
      <c r="R59" s="35"/>
      <c r="S59" s="35"/>
      <c r="T59" s="35"/>
      <c r="U59" s="35"/>
      <c r="V59" s="35"/>
    </row>
    <row r="60" spans="1:22" x14ac:dyDescent="0.2">
      <c r="A60" s="37" t="s">
        <v>933</v>
      </c>
      <c r="B60" s="35"/>
      <c r="C60" s="35"/>
      <c r="D60" s="35"/>
      <c r="E60" s="35"/>
      <c r="F60" s="35"/>
      <c r="G60" s="35"/>
      <c r="H60" s="35"/>
      <c r="I60" s="35"/>
      <c r="O60" s="187"/>
    </row>
    <row r="61" spans="1:22" x14ac:dyDescent="0.2">
      <c r="A61" s="37" t="s">
        <v>978</v>
      </c>
      <c r="B61" s="35"/>
      <c r="C61" s="35"/>
      <c r="D61" s="35"/>
      <c r="E61" s="35"/>
      <c r="F61" s="35"/>
      <c r="G61" s="35"/>
      <c r="H61" s="35"/>
      <c r="I61" s="35"/>
      <c r="O61" s="187"/>
    </row>
    <row r="62" spans="1:22" x14ac:dyDescent="0.2">
      <c r="A62" s="37" t="s">
        <v>975</v>
      </c>
      <c r="B62" s="35"/>
      <c r="C62" s="35"/>
      <c r="D62" s="35"/>
      <c r="E62" s="35"/>
      <c r="F62" s="35"/>
      <c r="G62" s="35"/>
      <c r="H62" s="35"/>
      <c r="I62" s="35"/>
      <c r="J62" s="35"/>
      <c r="K62" s="35"/>
      <c r="L62" s="35"/>
      <c r="M62" s="35"/>
      <c r="N62" s="35"/>
      <c r="O62" s="186"/>
      <c r="P62" s="35"/>
      <c r="Q62" s="35"/>
      <c r="R62" s="35"/>
      <c r="S62" s="35"/>
      <c r="T62" s="35"/>
      <c r="U62" s="35"/>
      <c r="V62" s="35"/>
    </row>
    <row r="63" spans="1:22" x14ac:dyDescent="0.2">
      <c r="A63" s="37" t="s">
        <v>976</v>
      </c>
      <c r="B63" s="35"/>
      <c r="C63" s="35"/>
      <c r="D63" s="35"/>
      <c r="E63" s="35"/>
      <c r="F63" s="35"/>
      <c r="G63" s="35"/>
      <c r="H63" s="35"/>
      <c r="I63" s="35"/>
      <c r="J63" s="35"/>
      <c r="K63" s="35"/>
      <c r="L63" s="35"/>
      <c r="M63" s="35"/>
      <c r="N63" s="35"/>
      <c r="O63" s="186"/>
      <c r="P63" s="35"/>
      <c r="Q63" s="35"/>
      <c r="R63" s="35"/>
      <c r="S63" s="35"/>
      <c r="T63" s="35"/>
      <c r="U63" s="35"/>
      <c r="V63" s="35"/>
    </row>
    <row r="64" spans="1:22" x14ac:dyDescent="0.2">
      <c r="A64" s="37" t="s">
        <v>977</v>
      </c>
      <c r="B64" s="35"/>
      <c r="C64" s="35"/>
      <c r="D64" s="35"/>
      <c r="E64" s="35"/>
      <c r="F64" s="35"/>
      <c r="G64" s="35"/>
      <c r="H64" s="35"/>
      <c r="I64" s="35"/>
      <c r="J64" s="35"/>
      <c r="K64" s="35"/>
      <c r="L64" s="35"/>
      <c r="M64" s="35"/>
      <c r="N64" s="35"/>
      <c r="O64" s="186"/>
      <c r="P64" s="35"/>
      <c r="Q64" s="35"/>
      <c r="R64" s="35"/>
      <c r="S64" s="35"/>
      <c r="T64" s="35"/>
      <c r="U64" s="35"/>
      <c r="V64" s="35"/>
    </row>
    <row r="65" spans="1:22" x14ac:dyDescent="0.2">
      <c r="A65" s="37" t="s">
        <v>1027</v>
      </c>
      <c r="B65" s="35"/>
      <c r="C65" s="35"/>
      <c r="D65" s="35"/>
      <c r="E65" s="35"/>
      <c r="F65" s="35"/>
      <c r="G65" s="35"/>
      <c r="H65" s="35"/>
      <c r="I65" s="35"/>
      <c r="J65" s="35"/>
      <c r="K65" s="35"/>
      <c r="L65" s="35"/>
      <c r="M65" s="35"/>
      <c r="N65" s="35"/>
      <c r="O65" s="186"/>
      <c r="P65" s="35"/>
      <c r="Q65" s="35"/>
      <c r="R65" s="35"/>
      <c r="S65" s="35"/>
      <c r="T65" s="35"/>
      <c r="U65" s="35"/>
      <c r="V65" s="35"/>
    </row>
    <row r="66" spans="1:22" x14ac:dyDescent="0.2">
      <c r="A66" s="35"/>
      <c r="C66" s="35"/>
      <c r="D66" s="35"/>
      <c r="E66" s="35"/>
      <c r="F66" s="35"/>
      <c r="G66" s="35"/>
      <c r="H66" s="35"/>
      <c r="I66" s="35"/>
      <c r="J66" s="35"/>
      <c r="K66" s="35"/>
      <c r="L66" s="35"/>
      <c r="M66" s="35"/>
      <c r="N66" s="35"/>
      <c r="O66" s="186"/>
      <c r="P66" s="35"/>
      <c r="Q66" s="35"/>
      <c r="R66" s="35"/>
      <c r="S66" s="35"/>
      <c r="T66" s="35"/>
      <c r="U66" s="35"/>
      <c r="V66" s="35"/>
    </row>
    <row r="67" spans="1:22" x14ac:dyDescent="0.2">
      <c r="A67" s="1" t="s">
        <v>106</v>
      </c>
      <c r="B67" s="5" t="s">
        <v>10</v>
      </c>
      <c r="C67" s="35"/>
      <c r="D67" s="35"/>
      <c r="E67" s="35"/>
      <c r="F67" s="35"/>
      <c r="G67" s="35"/>
      <c r="H67" s="35"/>
      <c r="I67" s="35"/>
      <c r="J67" s="35"/>
      <c r="K67" s="35"/>
      <c r="L67" s="35"/>
      <c r="M67" s="35"/>
      <c r="N67" s="35"/>
      <c r="O67" s="186"/>
      <c r="P67" s="35"/>
      <c r="Q67" s="35"/>
      <c r="R67" s="35"/>
      <c r="S67" s="35"/>
      <c r="T67" s="35"/>
      <c r="U67" s="35"/>
      <c r="V67" s="35"/>
    </row>
  </sheetData>
  <mergeCells count="16">
    <mergeCell ref="K16:K17"/>
    <mergeCell ref="L16:L17"/>
    <mergeCell ref="M16:M17"/>
    <mergeCell ref="N16:N17"/>
    <mergeCell ref="A55:V55"/>
    <mergeCell ref="A1:V1"/>
    <mergeCell ref="A2:V2"/>
    <mergeCell ref="B6:B8"/>
    <mergeCell ref="C6:C8"/>
    <mergeCell ref="D6:I7"/>
    <mergeCell ref="J6:J8"/>
    <mergeCell ref="K6:S6"/>
    <mergeCell ref="T6:V7"/>
    <mergeCell ref="K7:O7"/>
    <mergeCell ref="P7:S7"/>
    <mergeCell ref="A3:V3"/>
  </mergeCells>
  <hyperlinks>
    <hyperlink ref="B67"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60"/>
  <sheetViews>
    <sheetView zoomScale="90" zoomScaleNormal="90" workbookViewId="0">
      <pane xSplit="1" ySplit="10" topLeftCell="B38" activePane="bottomRight" state="frozen"/>
      <selection pane="topRight" activeCell="B1" sqref="B1"/>
      <selection pane="bottomLeft" activeCell="A11" sqref="A11"/>
      <selection pane="bottomRight" activeCell="H19" sqref="H19"/>
    </sheetView>
  </sheetViews>
  <sheetFormatPr defaultRowHeight="12.75" x14ac:dyDescent="0.2"/>
  <cols>
    <col min="1" max="1" width="20" bestFit="1" customWidth="1"/>
    <col min="2" max="2" width="24.7109375" customWidth="1"/>
    <col min="8" max="8" width="86.140625" customWidth="1"/>
    <col min="9" max="9" width="14.5703125" bestFit="1" customWidth="1"/>
    <col min="10" max="10" width="38.5703125" bestFit="1" customWidth="1"/>
  </cols>
  <sheetData>
    <row r="1" spans="1:10" ht="21" x14ac:dyDescent="0.25">
      <c r="A1" s="573" t="s">
        <v>417</v>
      </c>
      <c r="B1" s="573"/>
      <c r="C1" s="573"/>
      <c r="D1" s="573"/>
      <c r="E1" s="573"/>
      <c r="F1" s="573"/>
      <c r="G1" s="573"/>
      <c r="H1" s="573"/>
      <c r="I1" s="573"/>
      <c r="J1" s="573"/>
    </row>
    <row r="2" spans="1:10" ht="18" x14ac:dyDescent="0.2">
      <c r="A2" s="574">
        <v>2014</v>
      </c>
      <c r="B2" s="574"/>
      <c r="C2" s="574"/>
      <c r="D2" s="574"/>
      <c r="E2" s="574"/>
      <c r="F2" s="574"/>
      <c r="G2" s="574"/>
      <c r="H2" s="574"/>
      <c r="I2" s="574"/>
      <c r="J2" s="574"/>
    </row>
    <row r="3" spans="1:10" ht="12" hidden="1" customHeight="1" x14ac:dyDescent="0.2">
      <c r="A3" s="6" t="s">
        <v>9</v>
      </c>
      <c r="B3" s="6" t="s">
        <v>12</v>
      </c>
      <c r="C3" s="6" t="s">
        <v>12</v>
      </c>
      <c r="D3" s="6" t="s">
        <v>12</v>
      </c>
      <c r="E3" s="6" t="s">
        <v>12</v>
      </c>
      <c r="F3" s="6" t="s">
        <v>12</v>
      </c>
      <c r="G3" s="6" t="s">
        <v>12</v>
      </c>
      <c r="H3" s="6" t="s">
        <v>12</v>
      </c>
      <c r="I3" s="6" t="s">
        <v>13</v>
      </c>
      <c r="J3" s="6" t="s">
        <v>12</v>
      </c>
    </row>
    <row r="4" spans="1:10" hidden="1" x14ac:dyDescent="0.2">
      <c r="A4" s="119" t="s">
        <v>14</v>
      </c>
      <c r="B4" s="230" t="s">
        <v>418</v>
      </c>
      <c r="C4" s="230" t="s">
        <v>419</v>
      </c>
      <c r="D4" s="230" t="s">
        <v>420</v>
      </c>
      <c r="E4" s="230" t="s">
        <v>421</v>
      </c>
      <c r="F4" s="230" t="s">
        <v>422</v>
      </c>
      <c r="G4" s="230" t="s">
        <v>423</v>
      </c>
      <c r="H4" s="230" t="s">
        <v>424</v>
      </c>
      <c r="I4" s="188" t="s">
        <v>425</v>
      </c>
      <c r="J4" s="12" t="s">
        <v>426</v>
      </c>
    </row>
    <row r="5" spans="1:10" x14ac:dyDescent="0.2">
      <c r="A5" s="190"/>
      <c r="B5" s="575" t="s">
        <v>427</v>
      </c>
      <c r="C5" s="576"/>
      <c r="D5" s="576"/>
      <c r="E5" s="576"/>
      <c r="F5" s="576"/>
      <c r="G5" s="576"/>
      <c r="H5" s="576"/>
      <c r="I5" s="577"/>
      <c r="J5" s="578" t="s">
        <v>428</v>
      </c>
    </row>
    <row r="6" spans="1:10" x14ac:dyDescent="0.2">
      <c r="A6" s="190"/>
      <c r="B6" s="570"/>
      <c r="C6" s="571"/>
      <c r="D6" s="571"/>
      <c r="E6" s="571"/>
      <c r="F6" s="571"/>
      <c r="G6" s="571"/>
      <c r="H6" s="571"/>
      <c r="I6" s="572"/>
      <c r="J6" s="579"/>
    </row>
    <row r="7" spans="1:10" x14ac:dyDescent="0.2">
      <c r="A7" s="191"/>
      <c r="B7" s="578" t="s">
        <v>242</v>
      </c>
      <c r="C7" s="580" t="s">
        <v>429</v>
      </c>
      <c r="D7" s="580"/>
      <c r="E7" s="580"/>
      <c r="F7" s="580"/>
      <c r="G7" s="581"/>
      <c r="H7" s="582" t="s">
        <v>430</v>
      </c>
      <c r="I7" s="578" t="s">
        <v>436</v>
      </c>
      <c r="J7" s="579"/>
    </row>
    <row r="8" spans="1:10" ht="48" x14ac:dyDescent="0.2">
      <c r="A8" s="191"/>
      <c r="B8" s="579"/>
      <c r="C8" s="194" t="s">
        <v>431</v>
      </c>
      <c r="D8" s="194" t="s">
        <v>432</v>
      </c>
      <c r="E8" s="194" t="s">
        <v>433</v>
      </c>
      <c r="F8" s="194" t="s">
        <v>434</v>
      </c>
      <c r="G8" s="195" t="s">
        <v>435</v>
      </c>
      <c r="H8" s="583"/>
      <c r="I8" s="579"/>
      <c r="J8" s="579"/>
    </row>
    <row r="9" spans="1:10" x14ac:dyDescent="0.2">
      <c r="A9" s="191"/>
      <c r="B9" s="192" t="s">
        <v>46</v>
      </c>
      <c r="C9" s="570" t="s">
        <v>47</v>
      </c>
      <c r="D9" s="571"/>
      <c r="E9" s="571"/>
      <c r="F9" s="571"/>
      <c r="G9" s="572"/>
      <c r="H9" s="193" t="s">
        <v>48</v>
      </c>
      <c r="I9" s="192" t="s">
        <v>49</v>
      </c>
      <c r="J9" s="192" t="s">
        <v>50</v>
      </c>
    </row>
    <row r="10" spans="1:10" x14ac:dyDescent="0.2">
      <c r="A10" s="196" t="s">
        <v>60</v>
      </c>
      <c r="B10" s="197"/>
      <c r="C10" s="198"/>
      <c r="D10" s="199"/>
      <c r="E10" s="199"/>
      <c r="F10" s="199"/>
      <c r="G10" s="200"/>
      <c r="H10" s="198"/>
      <c r="I10" s="201"/>
      <c r="J10" s="202"/>
    </row>
    <row r="11" spans="1:10" ht="60" x14ac:dyDescent="0.2">
      <c r="A11" s="203" t="s">
        <v>437</v>
      </c>
      <c r="B11" s="222" t="s">
        <v>449</v>
      </c>
      <c r="C11" s="205" t="s">
        <v>341</v>
      </c>
      <c r="D11" s="206" t="s">
        <v>341</v>
      </c>
      <c r="E11" s="206" t="s">
        <v>153</v>
      </c>
      <c r="F11" s="206" t="s">
        <v>153</v>
      </c>
      <c r="G11" s="207" t="s">
        <v>341</v>
      </c>
      <c r="H11" s="208" t="s">
        <v>1062</v>
      </c>
      <c r="I11" s="209">
        <f>147.98*26/'Average wages'!B4</f>
        <v>4.845143497588434E-2</v>
      </c>
      <c r="J11" s="210" t="s">
        <v>120</v>
      </c>
    </row>
    <row r="12" spans="1:10" ht="36" x14ac:dyDescent="0.2">
      <c r="A12" s="211" t="s">
        <v>438</v>
      </c>
      <c r="B12" s="222" t="s">
        <v>934</v>
      </c>
      <c r="C12" s="205" t="s">
        <v>341</v>
      </c>
      <c r="D12" s="206" t="s">
        <v>341</v>
      </c>
      <c r="E12" s="206" t="s">
        <v>341</v>
      </c>
      <c r="F12" s="206" t="s">
        <v>341</v>
      </c>
      <c r="G12" s="207" t="s">
        <v>341</v>
      </c>
      <c r="H12" s="208" t="s">
        <v>935</v>
      </c>
      <c r="I12" s="209">
        <f>(4.91*70-0)*12/'Average wages'!B5</f>
        <v>9.6333762713527102E-2</v>
      </c>
      <c r="J12" s="210" t="s">
        <v>936</v>
      </c>
    </row>
    <row r="13" spans="1:10" ht="60" x14ac:dyDescent="0.2">
      <c r="A13" s="211" t="s">
        <v>439</v>
      </c>
      <c r="B13" s="204" t="s">
        <v>450</v>
      </c>
      <c r="C13" s="212" t="s">
        <v>174</v>
      </c>
      <c r="D13" s="213" t="s">
        <v>174</v>
      </c>
      <c r="E13" s="213" t="s">
        <v>174</v>
      </c>
      <c r="F13" s="213" t="s">
        <v>174</v>
      </c>
      <c r="G13" s="214" t="s">
        <v>174</v>
      </c>
      <c r="H13" s="215" t="s">
        <v>440</v>
      </c>
      <c r="I13" s="216" t="s">
        <v>110</v>
      </c>
      <c r="J13" s="204" t="s">
        <v>441</v>
      </c>
    </row>
    <row r="14" spans="1:10" x14ac:dyDescent="0.2">
      <c r="A14" s="211" t="s">
        <v>64</v>
      </c>
      <c r="B14" s="204" t="s">
        <v>450</v>
      </c>
      <c r="C14" s="205" t="s">
        <v>110</v>
      </c>
      <c r="D14" s="206" t="s">
        <v>110</v>
      </c>
      <c r="E14" s="206" t="s">
        <v>110</v>
      </c>
      <c r="F14" s="206" t="s">
        <v>110</v>
      </c>
      <c r="G14" s="207" t="s">
        <v>110</v>
      </c>
      <c r="H14" s="208" t="s">
        <v>451</v>
      </c>
      <c r="I14" s="209" t="s">
        <v>110</v>
      </c>
      <c r="J14" s="210" t="s">
        <v>153</v>
      </c>
    </row>
    <row r="15" spans="1:10" ht="25.5" x14ac:dyDescent="0.2">
      <c r="A15" s="203" t="s">
        <v>65</v>
      </c>
      <c r="B15" s="222" t="s">
        <v>452</v>
      </c>
      <c r="C15" s="205" t="s">
        <v>341</v>
      </c>
      <c r="D15" s="206" t="s">
        <v>341</v>
      </c>
      <c r="E15" s="206" t="s">
        <v>153</v>
      </c>
      <c r="F15" s="206" t="s">
        <v>341</v>
      </c>
      <c r="G15" s="207" t="s">
        <v>341</v>
      </c>
      <c r="H15" s="232" t="s">
        <v>453</v>
      </c>
      <c r="I15" s="209">
        <v>0.17165305899743058</v>
      </c>
      <c r="J15" s="210" t="s">
        <v>454</v>
      </c>
    </row>
    <row r="16" spans="1:10" ht="90" customHeight="1" x14ac:dyDescent="0.2">
      <c r="A16" s="203" t="s">
        <v>66</v>
      </c>
      <c r="B16" s="222" t="s">
        <v>455</v>
      </c>
      <c r="C16" s="205" t="s">
        <v>341</v>
      </c>
      <c r="D16" s="206" t="s">
        <v>341</v>
      </c>
      <c r="E16" s="206" t="s">
        <v>341</v>
      </c>
      <c r="F16" s="206" t="s">
        <v>153</v>
      </c>
      <c r="G16" s="207" t="s">
        <v>341</v>
      </c>
      <c r="H16" s="208" t="s">
        <v>456</v>
      </c>
      <c r="I16" s="209">
        <f>41592/'Average wages'!B10</f>
        <v>0.10460764587525151</v>
      </c>
      <c r="J16" s="210" t="s">
        <v>457</v>
      </c>
    </row>
    <row r="17" spans="1:10" ht="37.5" x14ac:dyDescent="0.2">
      <c r="A17" s="203" t="s">
        <v>67</v>
      </c>
      <c r="B17" s="204" t="s">
        <v>458</v>
      </c>
      <c r="C17" s="205" t="s">
        <v>341</v>
      </c>
      <c r="D17" s="206" t="s">
        <v>341</v>
      </c>
      <c r="E17" s="206" t="s">
        <v>341</v>
      </c>
      <c r="F17" s="206" t="s">
        <v>153</v>
      </c>
      <c r="G17" s="207" t="s">
        <v>341</v>
      </c>
      <c r="H17" s="208" t="s">
        <v>1244</v>
      </c>
      <c r="I17" s="209" t="s">
        <v>110</v>
      </c>
      <c r="J17" s="210" t="s">
        <v>153</v>
      </c>
    </row>
    <row r="18" spans="1:10" ht="36" x14ac:dyDescent="0.2">
      <c r="A18" s="203" t="s">
        <v>68</v>
      </c>
      <c r="B18" s="222" t="s">
        <v>459</v>
      </c>
      <c r="C18" s="205" t="s">
        <v>341</v>
      </c>
      <c r="D18" s="206" t="s">
        <v>341</v>
      </c>
      <c r="E18" s="206" t="s">
        <v>341</v>
      </c>
      <c r="F18" s="206" t="s">
        <v>341</v>
      </c>
      <c r="G18" s="207" t="s">
        <v>341</v>
      </c>
      <c r="H18" s="208" t="s">
        <v>460</v>
      </c>
      <c r="I18" s="209">
        <v>0.25600000000000001</v>
      </c>
      <c r="J18" s="210" t="s">
        <v>461</v>
      </c>
    </row>
    <row r="19" spans="1:10" ht="72" x14ac:dyDescent="0.2">
      <c r="A19" s="203" t="s">
        <v>69</v>
      </c>
      <c r="B19" s="204" t="s">
        <v>462</v>
      </c>
      <c r="C19" s="205" t="s">
        <v>341</v>
      </c>
      <c r="D19" s="206" t="s">
        <v>341</v>
      </c>
      <c r="E19" s="206" t="s">
        <v>153</v>
      </c>
      <c r="F19" s="206" t="s">
        <v>341</v>
      </c>
      <c r="G19" s="207" t="s">
        <v>341</v>
      </c>
      <c r="H19" s="232" t="s">
        <v>463</v>
      </c>
      <c r="I19" s="209">
        <v>0.14229308630521528</v>
      </c>
      <c r="J19" s="210" t="s">
        <v>153</v>
      </c>
    </row>
    <row r="20" spans="1:10" ht="36" x14ac:dyDescent="0.2">
      <c r="A20" s="203" t="s">
        <v>259</v>
      </c>
      <c r="B20" s="222" t="s">
        <v>464</v>
      </c>
      <c r="C20" s="205" t="s">
        <v>341</v>
      </c>
      <c r="D20" s="206" t="s">
        <v>341</v>
      </c>
      <c r="E20" s="206" t="s">
        <v>341</v>
      </c>
      <c r="F20" s="206" t="s">
        <v>341</v>
      </c>
      <c r="G20" s="207" t="s">
        <v>341</v>
      </c>
      <c r="H20" s="232" t="s">
        <v>904</v>
      </c>
      <c r="I20" s="209">
        <f>665*12/'Average wages'!B14</f>
        <v>0.17359147269958669</v>
      </c>
      <c r="J20" s="210" t="s">
        <v>1247</v>
      </c>
    </row>
    <row r="21" spans="1:10" ht="48" x14ac:dyDescent="0.2">
      <c r="A21" s="203" t="s">
        <v>71</v>
      </c>
      <c r="B21" s="231" t="s">
        <v>120</v>
      </c>
      <c r="C21" s="205" t="s">
        <v>341</v>
      </c>
      <c r="D21" s="206" t="s">
        <v>341</v>
      </c>
      <c r="E21" s="206" t="s">
        <v>153</v>
      </c>
      <c r="F21" s="206" t="s">
        <v>153</v>
      </c>
      <c r="G21" s="207" t="s">
        <v>153</v>
      </c>
      <c r="H21" s="232" t="s">
        <v>465</v>
      </c>
      <c r="I21" s="209">
        <v>9.5348703345669528E-2</v>
      </c>
      <c r="J21" s="210" t="s">
        <v>466</v>
      </c>
    </row>
    <row r="22" spans="1:10" ht="38.25" x14ac:dyDescent="0.2">
      <c r="A22" s="203" t="s">
        <v>442</v>
      </c>
      <c r="B22" s="222" t="s">
        <v>467</v>
      </c>
      <c r="C22" s="205" t="s">
        <v>341</v>
      </c>
      <c r="D22" s="206" t="s">
        <v>341</v>
      </c>
      <c r="E22" s="206" t="s">
        <v>341</v>
      </c>
      <c r="F22" s="206" t="s">
        <v>153</v>
      </c>
      <c r="G22" s="207" t="s">
        <v>153</v>
      </c>
      <c r="H22" s="232" t="s">
        <v>468</v>
      </c>
      <c r="I22" s="503">
        <v>4.0000000000000002E-4</v>
      </c>
      <c r="J22" s="210" t="s">
        <v>110</v>
      </c>
    </row>
    <row r="23" spans="1:10" ht="38.25" x14ac:dyDescent="0.2">
      <c r="A23" s="203" t="s">
        <v>73</v>
      </c>
      <c r="B23" s="222" t="s">
        <v>372</v>
      </c>
      <c r="C23" s="205" t="s">
        <v>341</v>
      </c>
      <c r="D23" s="206" t="s">
        <v>341</v>
      </c>
      <c r="E23" s="206" t="s">
        <v>153</v>
      </c>
      <c r="F23" s="206" t="s">
        <v>153</v>
      </c>
      <c r="G23" s="207" t="s">
        <v>341</v>
      </c>
      <c r="H23" s="232" t="s">
        <v>469</v>
      </c>
      <c r="I23" s="209">
        <v>6.8000000000000005E-2</v>
      </c>
      <c r="J23" s="210" t="s">
        <v>153</v>
      </c>
    </row>
    <row r="24" spans="1:10" ht="63.75" x14ac:dyDescent="0.2">
      <c r="A24" s="203" t="s">
        <v>74</v>
      </c>
      <c r="B24" s="231" t="s">
        <v>470</v>
      </c>
      <c r="C24" s="205" t="s">
        <v>341</v>
      </c>
      <c r="D24" s="206" t="s">
        <v>341</v>
      </c>
      <c r="E24" s="206" t="s">
        <v>153</v>
      </c>
      <c r="F24" s="206" t="s">
        <v>341</v>
      </c>
      <c r="G24" s="207" t="s">
        <v>341</v>
      </c>
      <c r="H24" s="232" t="s">
        <v>471</v>
      </c>
      <c r="I24" s="209">
        <f>(975*12-35*52)/'Average wages'!B18</f>
        <v>0.22784459829962128</v>
      </c>
      <c r="J24" s="210" t="s">
        <v>120</v>
      </c>
    </row>
    <row r="25" spans="1:10" ht="48" x14ac:dyDescent="0.2">
      <c r="A25" s="203" t="s">
        <v>443</v>
      </c>
      <c r="B25" s="204" t="s">
        <v>120</v>
      </c>
      <c r="C25" s="205" t="s">
        <v>341</v>
      </c>
      <c r="D25" s="206" t="s">
        <v>341</v>
      </c>
      <c r="E25" s="206" t="s">
        <v>153</v>
      </c>
      <c r="F25" s="206" t="s">
        <v>341</v>
      </c>
      <c r="G25" s="207" t="s">
        <v>341</v>
      </c>
      <c r="H25" s="208" t="s">
        <v>1083</v>
      </c>
      <c r="I25" s="209">
        <f>(1250*12)/'Average wages'!B19</f>
        <v>0.11131890640306349</v>
      </c>
      <c r="J25" s="210" t="s">
        <v>110</v>
      </c>
    </row>
    <row r="26" spans="1:10" ht="48" x14ac:dyDescent="0.2">
      <c r="A26" s="203" t="s">
        <v>444</v>
      </c>
      <c r="B26" s="204" t="s">
        <v>120</v>
      </c>
      <c r="C26" s="205" t="s">
        <v>341</v>
      </c>
      <c r="D26" s="206" t="s">
        <v>341</v>
      </c>
      <c r="E26" s="206" t="s">
        <v>153</v>
      </c>
      <c r="F26" s="206" t="s">
        <v>341</v>
      </c>
      <c r="G26" s="207" t="s">
        <v>341</v>
      </c>
      <c r="H26" s="208" t="s">
        <v>472</v>
      </c>
      <c r="I26" s="209" t="s">
        <v>110</v>
      </c>
      <c r="J26" s="210" t="s">
        <v>473</v>
      </c>
    </row>
    <row r="27" spans="1:10" ht="89.25" x14ac:dyDescent="0.2">
      <c r="A27" s="211" t="s">
        <v>445</v>
      </c>
      <c r="B27" s="231" t="s">
        <v>474</v>
      </c>
      <c r="C27" s="205" t="s">
        <v>341</v>
      </c>
      <c r="D27" s="206" t="s">
        <v>341</v>
      </c>
      <c r="E27" s="206" t="s">
        <v>153</v>
      </c>
      <c r="F27" s="206" t="s">
        <v>341</v>
      </c>
      <c r="G27" s="207" t="s">
        <v>341</v>
      </c>
      <c r="H27" s="232" t="str">
        <f>"Emergency measure introduced in 2009 until 2014:
Single person household: benefit amount equals difference between actual rent up to a limit of JPY 53700/month ("&amp;TEXT(53700*12*100/'Average wages'!B21,0)&amp;"% of AW) and income in excess of JPY 84000/month ("&amp;TEXT(8400*12*100/'Average wages'!B21,0)&amp;"% of AW)
Two person household: benefit amount is actual rent up to a limit of JPY 69800/month ("&amp;TEXT(69800*12*100/'Average wages'!B21,0)&amp;"% of AW) and is withdrawn if income exceeds JPY 172000/month ("&amp;TEXT(172000*12*100/'Average wages'!B21,0)&amp;"% of AW)
Three or more person household: benefit amount equals difference between actual rent up to a limit of JPY 69800/month ("&amp;TEXT(69800*12*100/'Average wages'!B21,0)&amp;"% of AW) and income in excess of JPY 172000/month ("&amp;TEXT(172000*12*100/'Average wages'!B21,0)&amp;"% of AW)"</f>
        <v>Emergency measure introduced in 2009 until 2014:
Single person household: benefit amount equals difference between actual rent up to a limit of JPY 53700/month (13% of AW) and income in excess of JPY 84000/month (2% of AW)
Two person household: benefit amount is actual rent up to a limit of JPY 69800/month (17% of AW) and is withdrawn if income exceeds JPY 172000/month (42% of AW)
Three or more person household: benefit amount equals difference between actual rent up to a limit of JPY 69800/month (17% of AW) and income in excess of JPY 172000/month (42% of AW)</v>
      </c>
      <c r="I27" s="209">
        <f>69800*12/'Average wages'!B21</f>
        <v>0.16844797992138691</v>
      </c>
      <c r="J27" s="210" t="s">
        <v>110</v>
      </c>
    </row>
    <row r="28" spans="1:10" ht="25.5" x14ac:dyDescent="0.2">
      <c r="A28" s="203" t="s">
        <v>78</v>
      </c>
      <c r="B28" s="231" t="s">
        <v>505</v>
      </c>
      <c r="C28" s="205" t="s">
        <v>341</v>
      </c>
      <c r="D28" s="206" t="s">
        <v>341</v>
      </c>
      <c r="E28" s="206" t="s">
        <v>153</v>
      </c>
      <c r="F28" s="206" t="s">
        <v>153</v>
      </c>
      <c r="G28" s="207" t="s">
        <v>153</v>
      </c>
      <c r="H28" s="232" t="s">
        <v>475</v>
      </c>
      <c r="I28" s="209">
        <v>8.4000000000000005E-2</v>
      </c>
      <c r="J28" s="210" t="s">
        <v>153</v>
      </c>
    </row>
    <row r="29" spans="1:10" ht="39" thickBot="1" x14ac:dyDescent="0.25">
      <c r="A29" s="203" t="s">
        <v>79</v>
      </c>
      <c r="B29" s="231" t="s">
        <v>504</v>
      </c>
      <c r="C29" s="205" t="s">
        <v>341</v>
      </c>
      <c r="D29" s="206" t="s">
        <v>341</v>
      </c>
      <c r="E29" s="206" t="s">
        <v>153</v>
      </c>
      <c r="F29" s="206" t="s">
        <v>153</v>
      </c>
      <c r="G29" s="207" t="s">
        <v>341</v>
      </c>
      <c r="H29" s="232" t="s">
        <v>476</v>
      </c>
      <c r="I29" s="209" t="s">
        <v>110</v>
      </c>
      <c r="J29" s="210" t="s">
        <v>153</v>
      </c>
    </row>
    <row r="30" spans="1:10" ht="39" thickBot="1" x14ac:dyDescent="0.25">
      <c r="A30" s="203" t="s">
        <v>80</v>
      </c>
      <c r="B30" s="234" t="s">
        <v>477</v>
      </c>
      <c r="C30" s="205" t="s">
        <v>341</v>
      </c>
      <c r="D30" s="206" t="s">
        <v>341</v>
      </c>
      <c r="E30" s="206" t="s">
        <v>153</v>
      </c>
      <c r="F30" s="206" t="s">
        <v>153</v>
      </c>
      <c r="G30" s="207" t="s">
        <v>341</v>
      </c>
      <c r="H30" s="233" t="s">
        <v>1034</v>
      </c>
      <c r="I30" s="209">
        <f>(389.05-226.98+0.65*(596.75-389.05))*12/'Average wages'!B25</f>
        <v>7.3715880893300265E-2</v>
      </c>
      <c r="J30" s="210" t="s">
        <v>153</v>
      </c>
    </row>
    <row r="31" spans="1:10" ht="76.5" x14ac:dyDescent="0.2">
      <c r="A31" s="203" t="s">
        <v>446</v>
      </c>
      <c r="B31" s="222" t="s">
        <v>478</v>
      </c>
      <c r="C31" s="205" t="s">
        <v>341</v>
      </c>
      <c r="D31" s="206" t="s">
        <v>341</v>
      </c>
      <c r="E31" s="206" t="s">
        <v>153</v>
      </c>
      <c r="F31" s="206" t="s">
        <v>341</v>
      </c>
      <c r="G31" s="207" t="s">
        <v>341</v>
      </c>
      <c r="H31" s="232" t="s">
        <v>479</v>
      </c>
      <c r="I31" s="209">
        <v>7.3999999999999996E-2</v>
      </c>
      <c r="J31" s="210" t="s">
        <v>153</v>
      </c>
    </row>
    <row r="32" spans="1:10" ht="63.75" x14ac:dyDescent="0.2">
      <c r="A32" s="203" t="s">
        <v>447</v>
      </c>
      <c r="B32" s="222" t="s">
        <v>480</v>
      </c>
      <c r="C32" s="205" t="s">
        <v>341</v>
      </c>
      <c r="D32" s="206" t="s">
        <v>341</v>
      </c>
      <c r="E32" s="206" t="s">
        <v>153</v>
      </c>
      <c r="F32" s="206" t="s">
        <v>341</v>
      </c>
      <c r="G32" s="207" t="s">
        <v>341</v>
      </c>
      <c r="H32" s="232" t="s">
        <v>1046</v>
      </c>
      <c r="I32" s="209">
        <f>(101500-18900)*0.7/'Average wages'!B27</f>
        <v>0.10749589593237165</v>
      </c>
      <c r="J32" s="210" t="s">
        <v>481</v>
      </c>
    </row>
    <row r="33" spans="1:10" ht="63.75" x14ac:dyDescent="0.2">
      <c r="A33" s="203" t="s">
        <v>334</v>
      </c>
      <c r="B33" s="234" t="s">
        <v>482</v>
      </c>
      <c r="C33" s="205" t="s">
        <v>341</v>
      </c>
      <c r="D33" s="206" t="s">
        <v>341</v>
      </c>
      <c r="E33" s="206" t="s">
        <v>341</v>
      </c>
      <c r="F33" s="206" t="s">
        <v>153</v>
      </c>
      <c r="G33" s="207" t="s">
        <v>341</v>
      </c>
      <c r="H33" s="232" t="s">
        <v>483</v>
      </c>
      <c r="I33" s="209" t="s">
        <v>484</v>
      </c>
      <c r="J33" s="210" t="s">
        <v>485</v>
      </c>
    </row>
    <row r="34" spans="1:10" ht="25.5" x14ac:dyDescent="0.2">
      <c r="A34" s="203" t="s">
        <v>83</v>
      </c>
      <c r="B34" s="234" t="s">
        <v>486</v>
      </c>
      <c r="C34" s="205" t="s">
        <v>341</v>
      </c>
      <c r="D34" s="206" t="s">
        <v>341</v>
      </c>
      <c r="E34" s="206" t="s">
        <v>153</v>
      </c>
      <c r="F34" s="206" t="s">
        <v>153</v>
      </c>
      <c r="G34" s="207" t="s">
        <v>341</v>
      </c>
      <c r="H34" s="208" t="s">
        <v>487</v>
      </c>
      <c r="I34" s="217" t="s">
        <v>110</v>
      </c>
      <c r="J34" s="210" t="s">
        <v>110</v>
      </c>
    </row>
    <row r="35" spans="1:10" ht="38.25" x14ac:dyDescent="0.2">
      <c r="A35" s="203" t="s">
        <v>85</v>
      </c>
      <c r="B35" s="234" t="s">
        <v>488</v>
      </c>
      <c r="C35" s="205" t="s">
        <v>341</v>
      </c>
      <c r="D35" s="206" t="s">
        <v>341</v>
      </c>
      <c r="E35" s="206" t="s">
        <v>341</v>
      </c>
      <c r="F35" s="206" t="s">
        <v>153</v>
      </c>
      <c r="G35" s="207" t="s">
        <v>341</v>
      </c>
      <c r="H35" s="232" t="s">
        <v>489</v>
      </c>
      <c r="I35" s="209">
        <f>180*0.8*12/'Average wages'!B31</f>
        <v>9.6278136839759304E-2</v>
      </c>
      <c r="J35" s="210" t="s">
        <v>110</v>
      </c>
    </row>
    <row r="36" spans="1:10" ht="25.5" x14ac:dyDescent="0.2">
      <c r="A36" s="203" t="s">
        <v>86</v>
      </c>
      <c r="B36" s="204" t="s">
        <v>450</v>
      </c>
      <c r="C36" s="205" t="s">
        <v>110</v>
      </c>
      <c r="D36" s="206" t="s">
        <v>110</v>
      </c>
      <c r="E36" s="206" t="s">
        <v>110</v>
      </c>
      <c r="F36" s="206" t="s">
        <v>110</v>
      </c>
      <c r="G36" s="207" t="s">
        <v>110</v>
      </c>
      <c r="H36" s="232" t="s">
        <v>490</v>
      </c>
      <c r="I36" s="217" t="s">
        <v>110</v>
      </c>
      <c r="J36" s="210" t="s">
        <v>153</v>
      </c>
    </row>
    <row r="37" spans="1:10" ht="51" x14ac:dyDescent="0.2">
      <c r="A37" s="203" t="s">
        <v>87</v>
      </c>
      <c r="B37" s="234" t="s">
        <v>491</v>
      </c>
      <c r="C37" s="205" t="s">
        <v>341</v>
      </c>
      <c r="D37" s="206" t="s">
        <v>341</v>
      </c>
      <c r="E37" s="206" t="s">
        <v>153</v>
      </c>
      <c r="F37" s="206" t="s">
        <v>153</v>
      </c>
      <c r="G37" s="207" t="s">
        <v>341</v>
      </c>
      <c r="H37" s="232" t="s">
        <v>492</v>
      </c>
      <c r="I37" s="209">
        <f>4250*12/'Average wages'!B33</f>
        <v>0.12494242848883358</v>
      </c>
      <c r="J37" s="210" t="s">
        <v>493</v>
      </c>
    </row>
    <row r="38" spans="1:10" ht="24" x14ac:dyDescent="0.2">
      <c r="A38" s="203" t="s">
        <v>88</v>
      </c>
      <c r="B38" s="204" t="s">
        <v>450</v>
      </c>
      <c r="C38" s="205" t="s">
        <v>110</v>
      </c>
      <c r="D38" s="206" t="s">
        <v>110</v>
      </c>
      <c r="E38" s="206" t="s">
        <v>110</v>
      </c>
      <c r="F38" s="206" t="s">
        <v>110</v>
      </c>
      <c r="G38" s="207" t="s">
        <v>110</v>
      </c>
      <c r="H38" s="208" t="s">
        <v>494</v>
      </c>
      <c r="I38" s="217" t="s">
        <v>110</v>
      </c>
      <c r="J38" s="210" t="s">
        <v>495</v>
      </c>
    </row>
    <row r="39" spans="1:10" ht="51" x14ac:dyDescent="0.2">
      <c r="A39" s="203" t="s">
        <v>90</v>
      </c>
      <c r="B39" s="222" t="s">
        <v>496</v>
      </c>
      <c r="C39" s="205" t="s">
        <v>341</v>
      </c>
      <c r="D39" s="206" t="s">
        <v>341</v>
      </c>
      <c r="E39" s="206" t="s">
        <v>153</v>
      </c>
      <c r="F39" s="206" t="s">
        <v>341</v>
      </c>
      <c r="G39" s="207" t="s">
        <v>341</v>
      </c>
      <c r="H39" s="232" t="s">
        <v>966</v>
      </c>
      <c r="I39" s="209">
        <f>299.34*52/'Average wages'!B36</f>
        <v>0.44321412300683366</v>
      </c>
      <c r="J39" s="210" t="s">
        <v>153</v>
      </c>
    </row>
    <row r="40" spans="1:10" ht="36" x14ac:dyDescent="0.2">
      <c r="A40" s="203" t="s">
        <v>448</v>
      </c>
      <c r="B40" s="204" t="s">
        <v>497</v>
      </c>
      <c r="C40" s="205" t="s">
        <v>110</v>
      </c>
      <c r="D40" s="206" t="s">
        <v>110</v>
      </c>
      <c r="E40" s="206" t="s">
        <v>110</v>
      </c>
      <c r="F40" s="206" t="s">
        <v>110</v>
      </c>
      <c r="G40" s="207" t="s">
        <v>110</v>
      </c>
      <c r="H40" s="208" t="s">
        <v>498</v>
      </c>
      <c r="I40" s="217" t="s">
        <v>110</v>
      </c>
      <c r="J40" s="210" t="s">
        <v>1248</v>
      </c>
    </row>
    <row r="41" spans="1:10" x14ac:dyDescent="0.2">
      <c r="A41" s="218" t="s">
        <v>92</v>
      </c>
      <c r="B41" s="223"/>
      <c r="C41" s="224"/>
      <c r="D41" s="225"/>
      <c r="E41" s="225"/>
      <c r="F41" s="225"/>
      <c r="G41" s="226"/>
      <c r="H41" s="227"/>
      <c r="I41" s="228"/>
      <c r="J41" s="229"/>
    </row>
    <row r="42" spans="1:10" ht="60" x14ac:dyDescent="0.2">
      <c r="A42" s="215" t="s">
        <v>93</v>
      </c>
      <c r="B42" s="204" t="s">
        <v>450</v>
      </c>
      <c r="C42" s="205" t="s">
        <v>110</v>
      </c>
      <c r="D42" s="206" t="s">
        <v>110</v>
      </c>
      <c r="E42" s="206" t="s">
        <v>110</v>
      </c>
      <c r="F42" s="206" t="s">
        <v>110</v>
      </c>
      <c r="G42" s="207" t="s">
        <v>110</v>
      </c>
      <c r="H42" s="208" t="s">
        <v>1245</v>
      </c>
      <c r="I42" s="217" t="s">
        <v>110</v>
      </c>
      <c r="J42" s="210" t="s">
        <v>406</v>
      </c>
    </row>
    <row r="43" spans="1:10" ht="36" x14ac:dyDescent="0.2">
      <c r="A43" s="203" t="s">
        <v>94</v>
      </c>
      <c r="B43" s="234" t="s">
        <v>920</v>
      </c>
      <c r="C43" s="205" t="s">
        <v>153</v>
      </c>
      <c r="D43" s="206" t="s">
        <v>341</v>
      </c>
      <c r="E43" s="206" t="s">
        <v>153</v>
      </c>
      <c r="F43" s="206" t="s">
        <v>153</v>
      </c>
      <c r="G43" s="207" t="s">
        <v>341</v>
      </c>
      <c r="H43" s="210" t="s">
        <v>499</v>
      </c>
      <c r="I43" s="209">
        <v>0.113</v>
      </c>
      <c r="J43" s="210" t="s">
        <v>500</v>
      </c>
    </row>
    <row r="44" spans="1:10" ht="38.25" x14ac:dyDescent="0.2">
      <c r="A44" s="203" t="s">
        <v>882</v>
      </c>
      <c r="B44" s="234" t="s">
        <v>1059</v>
      </c>
      <c r="C44" s="205" t="s">
        <v>341</v>
      </c>
      <c r="D44" s="206" t="s">
        <v>341</v>
      </c>
      <c r="E44" s="206" t="s">
        <v>153</v>
      </c>
      <c r="F44" s="206" t="s">
        <v>341</v>
      </c>
      <c r="G44" s="207" t="s">
        <v>341</v>
      </c>
      <c r="H44" s="210" t="s">
        <v>954</v>
      </c>
      <c r="I44" s="209">
        <v>0.109</v>
      </c>
      <c r="J44" s="210" t="s">
        <v>153</v>
      </c>
    </row>
    <row r="45" spans="1:10" ht="25.5" x14ac:dyDescent="0.2">
      <c r="A45" s="203" t="s">
        <v>95</v>
      </c>
      <c r="B45" s="234" t="s">
        <v>875</v>
      </c>
      <c r="C45" s="205" t="s">
        <v>341</v>
      </c>
      <c r="D45" s="206" t="s">
        <v>341</v>
      </c>
      <c r="E45" s="206" t="s">
        <v>341</v>
      </c>
      <c r="F45" s="206" t="s">
        <v>341</v>
      </c>
      <c r="G45" s="207" t="s">
        <v>341</v>
      </c>
      <c r="H45" s="232" t="s">
        <v>501</v>
      </c>
      <c r="I45" s="209">
        <v>0.18256590589491034</v>
      </c>
      <c r="J45" s="210" t="s">
        <v>153</v>
      </c>
    </row>
    <row r="46" spans="1:10" ht="72" x14ac:dyDescent="0.2">
      <c r="A46" s="203" t="s">
        <v>96</v>
      </c>
      <c r="B46" s="204" t="s">
        <v>964</v>
      </c>
      <c r="C46" s="205" t="s">
        <v>341</v>
      </c>
      <c r="D46" s="206" t="s">
        <v>341</v>
      </c>
      <c r="E46" s="206" t="s">
        <v>153</v>
      </c>
      <c r="F46" s="206" t="s">
        <v>153</v>
      </c>
      <c r="G46" s="207" t="s">
        <v>153</v>
      </c>
      <c r="H46" s="208" t="s">
        <v>502</v>
      </c>
      <c r="I46" s="217" t="s">
        <v>110</v>
      </c>
      <c r="J46" s="210" t="s">
        <v>153</v>
      </c>
    </row>
    <row r="47" spans="1:10" ht="25.5" x14ac:dyDescent="0.2">
      <c r="A47" s="221" t="s">
        <v>277</v>
      </c>
      <c r="B47" s="234" t="s">
        <v>503</v>
      </c>
      <c r="C47" s="205" t="s">
        <v>341</v>
      </c>
      <c r="D47" s="206" t="s">
        <v>341</v>
      </c>
      <c r="E47" s="206" t="s">
        <v>153</v>
      </c>
      <c r="F47" s="206" t="s">
        <v>153</v>
      </c>
      <c r="G47" s="207" t="s">
        <v>153</v>
      </c>
      <c r="H47" s="232" t="s">
        <v>1246</v>
      </c>
      <c r="I47" s="217">
        <v>4.7510452299505894E-2</v>
      </c>
      <c r="J47" s="210" t="s">
        <v>153</v>
      </c>
    </row>
    <row r="48" spans="1:10" x14ac:dyDescent="0.2">
      <c r="A48" s="230"/>
    </row>
    <row r="49" spans="1:2" x14ac:dyDescent="0.2">
      <c r="A49" s="356" t="s">
        <v>98</v>
      </c>
      <c r="B49" s="188"/>
    </row>
    <row r="50" spans="1:2" x14ac:dyDescent="0.2">
      <c r="A50" s="188" t="str">
        <f>'Unemployment Insurance'!A53</f>
        <v>1. "n.a." equals not applicable, "..." equals no information available.</v>
      </c>
      <c r="B50" s="356"/>
    </row>
    <row r="51" spans="1:2" x14ac:dyDescent="0.2">
      <c r="A51" s="414" t="s">
        <v>865</v>
      </c>
      <c r="B51" s="188"/>
    </row>
    <row r="52" spans="1:2" ht="13.5" x14ac:dyDescent="0.2">
      <c r="A52" s="37" t="s">
        <v>955</v>
      </c>
      <c r="B52" s="190"/>
    </row>
    <row r="53" spans="1:2" x14ac:dyDescent="0.2">
      <c r="A53" s="414" t="s">
        <v>937</v>
      </c>
      <c r="B53" s="190"/>
    </row>
    <row r="54" spans="1:2" x14ac:dyDescent="0.2">
      <c r="A54" s="190" t="s">
        <v>866</v>
      </c>
      <c r="B54" s="190"/>
    </row>
    <row r="55" spans="1:2" x14ac:dyDescent="0.2">
      <c r="A55" s="190" t="s">
        <v>867</v>
      </c>
      <c r="B55" s="190"/>
    </row>
    <row r="56" spans="1:2" x14ac:dyDescent="0.2">
      <c r="A56" s="190" t="s">
        <v>868</v>
      </c>
      <c r="B56" s="190"/>
    </row>
    <row r="57" spans="1:2" x14ac:dyDescent="0.2">
      <c r="A57" s="190" t="s">
        <v>869</v>
      </c>
      <c r="B57" s="190"/>
    </row>
    <row r="58" spans="1:2" x14ac:dyDescent="0.2">
      <c r="A58" s="190" t="s">
        <v>870</v>
      </c>
      <c r="B58" s="190"/>
    </row>
    <row r="59" spans="1:2" x14ac:dyDescent="0.2">
      <c r="A59" s="188"/>
      <c r="B59" s="188"/>
    </row>
    <row r="60" spans="1:2" x14ac:dyDescent="0.2">
      <c r="A60" s="1" t="s">
        <v>106</v>
      </c>
      <c r="B60" s="5" t="s">
        <v>10</v>
      </c>
    </row>
  </sheetData>
  <mergeCells count="9">
    <mergeCell ref="C9:G9"/>
    <mergeCell ref="A1:J1"/>
    <mergeCell ref="A2:J2"/>
    <mergeCell ref="B5:I6"/>
    <mergeCell ref="J5:J8"/>
    <mergeCell ref="B7:B8"/>
    <mergeCell ref="C7:G7"/>
    <mergeCell ref="H7:H8"/>
    <mergeCell ref="I7:I8"/>
  </mergeCells>
  <hyperlinks>
    <hyperlink ref="B60" r:id="rId1"/>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70"/>
  <sheetViews>
    <sheetView topLeftCell="B1" zoomScale="90" zoomScaleNormal="90" workbookViewId="0">
      <pane xSplit="1" ySplit="9" topLeftCell="C10" activePane="bottomRight" state="frozen"/>
      <selection activeCell="B1" sqref="B1"/>
      <selection pane="topRight" activeCell="C1" sqref="C1"/>
      <selection pane="bottomLeft" activeCell="B10" sqref="B10"/>
      <selection pane="bottomRight" activeCell="G12" sqref="G12"/>
    </sheetView>
  </sheetViews>
  <sheetFormatPr defaultRowHeight="12.75" x14ac:dyDescent="0.2"/>
  <cols>
    <col min="1" max="1" width="17.85546875" hidden="1" customWidth="1"/>
    <col min="2" max="2" width="20" bestFit="1" customWidth="1"/>
    <col min="3" max="3" width="35.140625" customWidth="1"/>
    <col min="4" max="4" width="12.28515625" bestFit="1" customWidth="1"/>
    <col min="5" max="5" width="12.85546875" customWidth="1"/>
    <col min="6" max="6" width="26.5703125" customWidth="1"/>
    <col min="7" max="7" width="9.140625" customWidth="1"/>
    <col min="8" max="8" width="15.5703125" customWidth="1"/>
    <col min="9" max="9" width="20.7109375" customWidth="1"/>
    <col min="10" max="10" width="26.42578125" customWidth="1"/>
    <col min="11" max="11" width="18" customWidth="1"/>
    <col min="12" max="12" width="20.28515625" bestFit="1" customWidth="1"/>
  </cols>
  <sheetData>
    <row r="1" spans="1:12" ht="18" x14ac:dyDescent="0.25">
      <c r="A1" s="117"/>
      <c r="B1" s="586" t="s">
        <v>506</v>
      </c>
      <c r="C1" s="587"/>
      <c r="D1" s="587"/>
      <c r="E1" s="587"/>
      <c r="F1" s="587"/>
      <c r="G1" s="587"/>
      <c r="H1" s="587"/>
      <c r="I1" s="587"/>
      <c r="J1" s="587"/>
      <c r="K1" s="587"/>
      <c r="L1" s="587"/>
    </row>
    <row r="2" spans="1:12" ht="17.25" customHeight="1" x14ac:dyDescent="0.25">
      <c r="A2" s="117"/>
      <c r="B2" s="516">
        <v>2014</v>
      </c>
      <c r="C2" s="516"/>
      <c r="D2" s="516"/>
      <c r="E2" s="516"/>
      <c r="F2" s="516"/>
      <c r="G2" s="516"/>
      <c r="H2" s="516"/>
      <c r="I2" s="516"/>
      <c r="J2" s="516"/>
      <c r="K2" s="516"/>
      <c r="L2" s="516"/>
    </row>
    <row r="3" spans="1:12" ht="11.25" hidden="1" customHeight="1" x14ac:dyDescent="0.2">
      <c r="A3" s="117"/>
      <c r="B3" s="37" t="s">
        <v>9</v>
      </c>
      <c r="C3" s="37" t="s">
        <v>12</v>
      </c>
      <c r="D3" s="37" t="s">
        <v>12</v>
      </c>
      <c r="E3" s="37" t="s">
        <v>12</v>
      </c>
      <c r="F3" s="37" t="s">
        <v>12</v>
      </c>
      <c r="G3" s="235" t="s">
        <v>507</v>
      </c>
      <c r="H3" s="37" t="s">
        <v>12</v>
      </c>
      <c r="I3" s="37" t="s">
        <v>12</v>
      </c>
      <c r="J3" s="37" t="s">
        <v>12</v>
      </c>
      <c r="K3" s="37" t="s">
        <v>12</v>
      </c>
      <c r="L3" s="37" t="s">
        <v>12</v>
      </c>
    </row>
    <row r="4" spans="1:12" hidden="1" x14ac:dyDescent="0.2">
      <c r="A4" s="117"/>
      <c r="B4" s="37" t="s">
        <v>508</v>
      </c>
      <c r="C4" s="260" t="s">
        <v>509</v>
      </c>
      <c r="D4" s="260" t="s">
        <v>510</v>
      </c>
      <c r="E4" s="260" t="s">
        <v>511</v>
      </c>
      <c r="F4" s="260" t="s">
        <v>512</v>
      </c>
      <c r="G4" s="46" t="s">
        <v>513</v>
      </c>
      <c r="H4" s="260" t="s">
        <v>514</v>
      </c>
      <c r="I4" s="260" t="s">
        <v>515</v>
      </c>
      <c r="J4" s="260" t="s">
        <v>516</v>
      </c>
      <c r="K4" s="260" t="s">
        <v>517</v>
      </c>
      <c r="L4" s="260" t="s">
        <v>518</v>
      </c>
    </row>
    <row r="5" spans="1:12" x14ac:dyDescent="0.2">
      <c r="A5" s="117"/>
      <c r="B5" s="261"/>
      <c r="C5" s="547" t="s">
        <v>519</v>
      </c>
      <c r="D5" s="547" t="s">
        <v>520</v>
      </c>
      <c r="E5" s="561" t="s">
        <v>521</v>
      </c>
      <c r="F5" s="563"/>
      <c r="G5" s="561" t="s">
        <v>522</v>
      </c>
      <c r="H5" s="562"/>
      <c r="I5" s="563"/>
      <c r="J5" s="555" t="s">
        <v>523</v>
      </c>
      <c r="K5" s="557"/>
      <c r="L5" s="236"/>
    </row>
    <row r="6" spans="1:12" ht="23.25" customHeight="1" x14ac:dyDescent="0.2">
      <c r="A6" s="117"/>
      <c r="B6" s="261"/>
      <c r="C6" s="548"/>
      <c r="D6" s="548"/>
      <c r="E6" s="588" t="s">
        <v>524</v>
      </c>
      <c r="F6" s="590" t="s">
        <v>309</v>
      </c>
      <c r="G6" s="547" t="s">
        <v>525</v>
      </c>
      <c r="H6" s="561" t="s">
        <v>551</v>
      </c>
      <c r="I6" s="563"/>
      <c r="J6" s="549" t="s">
        <v>526</v>
      </c>
      <c r="K6" s="551" t="s">
        <v>527</v>
      </c>
      <c r="L6" s="594" t="s">
        <v>528</v>
      </c>
    </row>
    <row r="7" spans="1:12" ht="120" x14ac:dyDescent="0.2">
      <c r="A7" s="117"/>
      <c r="B7" s="261"/>
      <c r="C7" s="548"/>
      <c r="D7" s="548"/>
      <c r="E7" s="589"/>
      <c r="F7" s="591"/>
      <c r="G7" s="548"/>
      <c r="H7" s="122" t="s">
        <v>550</v>
      </c>
      <c r="I7" s="262" t="s">
        <v>552</v>
      </c>
      <c r="J7" s="592"/>
      <c r="K7" s="593"/>
      <c r="L7" s="595"/>
    </row>
    <row r="8" spans="1:12" x14ac:dyDescent="0.2">
      <c r="A8" s="117"/>
      <c r="B8" s="261"/>
      <c r="C8" s="125" t="s">
        <v>46</v>
      </c>
      <c r="D8" s="125" t="s">
        <v>47</v>
      </c>
      <c r="E8" s="263" t="s">
        <v>48</v>
      </c>
      <c r="F8" s="264" t="s">
        <v>49</v>
      </c>
      <c r="G8" s="265" t="s">
        <v>50</v>
      </c>
      <c r="H8" s="265" t="s">
        <v>51</v>
      </c>
      <c r="I8" s="263" t="s">
        <v>52</v>
      </c>
      <c r="J8" s="265" t="s">
        <v>54</v>
      </c>
      <c r="K8" s="129" t="s">
        <v>55</v>
      </c>
      <c r="L8" s="264" t="s">
        <v>56</v>
      </c>
    </row>
    <row r="9" spans="1:12" x14ac:dyDescent="0.2">
      <c r="A9" s="260"/>
      <c r="B9" s="132" t="s">
        <v>60</v>
      </c>
      <c r="C9" s="237"/>
      <c r="D9" s="237"/>
      <c r="E9" s="263"/>
      <c r="F9" s="264"/>
      <c r="G9" s="263"/>
      <c r="H9" s="263"/>
      <c r="I9" s="263"/>
      <c r="J9" s="265"/>
      <c r="K9" s="264"/>
      <c r="L9" s="264"/>
    </row>
    <row r="10" spans="1:12" ht="144" x14ac:dyDescent="0.2">
      <c r="A10" s="266" t="s">
        <v>529</v>
      </c>
      <c r="B10" s="144" t="s">
        <v>248</v>
      </c>
      <c r="C10" s="244" t="s">
        <v>553</v>
      </c>
      <c r="D10" s="145" t="s">
        <v>554</v>
      </c>
      <c r="E10" s="267" t="s">
        <v>671</v>
      </c>
      <c r="F10" s="149" t="s">
        <v>153</v>
      </c>
      <c r="G10" s="268">
        <f>5305.45/'Average wages'!B4</f>
        <v>6.6811696407208243E-2</v>
      </c>
      <c r="H10" s="267" t="s">
        <v>555</v>
      </c>
      <c r="I10" s="250" t="s">
        <v>1291</v>
      </c>
      <c r="J10" s="269" t="str">
        <f>"AUD 47,837 ("&amp;TEXT(47837/'Average wages'!B4,"0%")&amp;" of AW)"</f>
        <v>AUD 47,837 (60% of AW)</v>
      </c>
      <c r="K10" s="270" t="str">
        <f>"Withdrawal occurs in two stages: benefit withdrawn at rate of 20% until it reaches a base amount, then at 30% above a higher threshold of AUD 94,316 for a one-child family ("&amp;TEXT(94316/'Average wages'!B4,"0%")&amp;" of AW) plus AUD 3,716 ("&amp;TEXT(3716/'Average wages'!B4,"0%")&amp;" of AW) for each additional child."</f>
        <v>Withdrawal occurs in two stages: benefit withdrawn at rate of 20% until it reaches a base amount, then at 30% above a higher threshold of AUD 94,316 for a one-child family (119% of AW) plus AUD 3,716 (5% of AW) for each additional child.</v>
      </c>
      <c r="L10" s="256" t="s">
        <v>153</v>
      </c>
    </row>
    <row r="11" spans="1:12" ht="48" x14ac:dyDescent="0.2">
      <c r="A11" s="266" t="s">
        <v>530</v>
      </c>
      <c r="B11" s="238"/>
      <c r="C11" s="245" t="s">
        <v>556</v>
      </c>
      <c r="D11" s="247" t="s">
        <v>554</v>
      </c>
      <c r="E11" s="271" t="s">
        <v>671</v>
      </c>
      <c r="F11" s="61" t="s">
        <v>557</v>
      </c>
      <c r="G11" s="272">
        <f>820/'Average wages'!B4</f>
        <v>1.0326285433641023E-2</v>
      </c>
      <c r="H11" s="271" t="s">
        <v>555</v>
      </c>
      <c r="I11" s="273">
        <v>0</v>
      </c>
      <c r="J11" s="274" t="s">
        <v>558</v>
      </c>
      <c r="K11" s="275" t="s">
        <v>1318</v>
      </c>
      <c r="L11" s="251" t="s">
        <v>153</v>
      </c>
    </row>
    <row r="12" spans="1:12" ht="108" x14ac:dyDescent="0.2">
      <c r="A12" s="266" t="s">
        <v>531</v>
      </c>
      <c r="B12" s="238"/>
      <c r="C12" s="245" t="s">
        <v>559</v>
      </c>
      <c r="D12" s="247" t="s">
        <v>554</v>
      </c>
      <c r="E12" s="271" t="s">
        <v>671</v>
      </c>
      <c r="F12" s="61" t="s">
        <v>153</v>
      </c>
      <c r="G12" s="272">
        <f>4241.3/'Average wages'!B4</f>
        <v>5.3410822450855697E-2</v>
      </c>
      <c r="H12" s="271" t="s">
        <v>589</v>
      </c>
      <c r="I12" s="253" t="s">
        <v>174</v>
      </c>
      <c r="J12" s="274" t="str">
        <f>"AUD 150,000 ("&amp;TEXT(150000/'Average wages'!B4,"0%")&amp;" of AW) for lone parents and higher earner in couples
AUD 5,183 ("&amp;TEXT(5183/'Average wages'!B4,"0%")&amp;" of AW) for lower earner in couples"</f>
        <v>AUD 150,000 (189% of AW) for lone parents and higher earner in couples
AUD 5,183 (7% of AW) for lower earner in couples</v>
      </c>
      <c r="K12" s="275" t="s">
        <v>1319</v>
      </c>
      <c r="L12" s="251" t="s">
        <v>153</v>
      </c>
    </row>
    <row r="13" spans="1:12" ht="48" x14ac:dyDescent="0.2">
      <c r="A13" s="266" t="s">
        <v>532</v>
      </c>
      <c r="B13" s="150"/>
      <c r="C13" s="246" t="s">
        <v>560</v>
      </c>
      <c r="D13" s="151" t="s">
        <v>554</v>
      </c>
      <c r="E13" s="276" t="s">
        <v>1285</v>
      </c>
      <c r="F13" s="93" t="s">
        <v>1286</v>
      </c>
      <c r="G13" s="277">
        <f>(713.2*26+11.9*26+26.4*4+6.2*26+107.8*2)/'Average wages'!B4</f>
        <v>0.24348625470664534</v>
      </c>
      <c r="H13" s="276">
        <v>0</v>
      </c>
      <c r="I13" s="258" t="s">
        <v>174</v>
      </c>
      <c r="J13" s="278" t="str">
        <f>"AUD 180.60/fortnight ("&amp;TEXT(180.6*26/'Average wages'!B4,"0%")&amp;" of AW) for a one-child family with an addition of AUD 24.60 ("&amp;TEXT(24.6*26/'Average wages'!B4,"0%")&amp;" of AW) for each subsequent child"</f>
        <v>AUD 180.60/fortnight (6% of AW) for a one-child family with an addition of AUD 24.60 (1% of AW) for each subsequent child</v>
      </c>
      <c r="K13" s="279">
        <v>0.4</v>
      </c>
      <c r="L13" s="249" t="s">
        <v>341</v>
      </c>
    </row>
    <row r="14" spans="1:12" ht="60" x14ac:dyDescent="0.2">
      <c r="A14" s="266" t="s">
        <v>529</v>
      </c>
      <c r="B14" s="144" t="s">
        <v>61</v>
      </c>
      <c r="C14" s="145" t="s">
        <v>938</v>
      </c>
      <c r="D14" s="145" t="s">
        <v>561</v>
      </c>
      <c r="E14" s="267" t="s">
        <v>939</v>
      </c>
      <c r="F14" s="149" t="s">
        <v>153</v>
      </c>
      <c r="G14" s="268">
        <f>136.2*12/'Average wages'!B5</f>
        <v>3.8174740999657814E-2</v>
      </c>
      <c r="H14" s="267" t="s">
        <v>555</v>
      </c>
      <c r="I14" s="280" t="s">
        <v>940</v>
      </c>
      <c r="J14" s="254" t="str">
        <f>"For children aged 19 or over, there is a means test against their own income, with an income disregard of EUR 10,000 ("&amp;TEXT(10000/'Average wages'!B5,"0%")&amp;" of AW)"</f>
        <v>For children aged 19 or over, there is a means test against their own income, with an income disregard of EUR 10,000 (23% of AW)</v>
      </c>
      <c r="K14" s="256" t="s">
        <v>1320</v>
      </c>
      <c r="L14" s="256" t="s">
        <v>110</v>
      </c>
    </row>
    <row r="15" spans="1:12" x14ac:dyDescent="0.2">
      <c r="A15" s="266" t="s">
        <v>531</v>
      </c>
      <c r="B15" s="238"/>
      <c r="C15" s="247" t="s">
        <v>564</v>
      </c>
      <c r="D15" s="247" t="s">
        <v>561</v>
      </c>
      <c r="E15" s="271" t="s">
        <v>939</v>
      </c>
      <c r="F15" s="448" t="s">
        <v>1274</v>
      </c>
      <c r="G15" s="449">
        <f>700.8/'Average wages'!B5</f>
        <v>1.6368611412481766E-2</v>
      </c>
      <c r="H15" s="271">
        <v>0</v>
      </c>
      <c r="I15" s="273">
        <v>0</v>
      </c>
      <c r="J15" s="252" t="s">
        <v>110</v>
      </c>
      <c r="K15" s="251" t="s">
        <v>110</v>
      </c>
      <c r="L15" s="251" t="s">
        <v>110</v>
      </c>
    </row>
    <row r="16" spans="1:12" x14ac:dyDescent="0.2">
      <c r="A16" s="266" t="s">
        <v>530</v>
      </c>
      <c r="B16" s="238"/>
      <c r="C16" s="247" t="s">
        <v>563</v>
      </c>
      <c r="D16" s="247" t="s">
        <v>561</v>
      </c>
      <c r="E16" s="271" t="s">
        <v>1272</v>
      </c>
      <c r="F16" s="448" t="s">
        <v>153</v>
      </c>
      <c r="G16" s="281">
        <f>100/'Average wages'!B5</f>
        <v>2.3357036832879234E-3</v>
      </c>
      <c r="H16" s="271">
        <v>0</v>
      </c>
      <c r="I16" s="273">
        <v>0</v>
      </c>
      <c r="J16" s="252" t="s">
        <v>110</v>
      </c>
      <c r="K16" s="251" t="s">
        <v>110</v>
      </c>
      <c r="L16" s="251" t="s">
        <v>110</v>
      </c>
    </row>
    <row r="17" spans="1:12" ht="36" x14ac:dyDescent="0.2">
      <c r="A17" s="266" t="s">
        <v>532</v>
      </c>
      <c r="B17" s="150"/>
      <c r="C17" s="151" t="s">
        <v>941</v>
      </c>
      <c r="D17" s="282" t="s">
        <v>561</v>
      </c>
      <c r="E17" s="276" t="s">
        <v>562</v>
      </c>
      <c r="F17" s="93" t="s">
        <v>1274</v>
      </c>
      <c r="G17" s="450">
        <f>494/'Average wages'!B5</f>
        <v>1.1538376195442341E-2</v>
      </c>
      <c r="H17" s="276">
        <v>0</v>
      </c>
      <c r="I17" s="283" t="s">
        <v>916</v>
      </c>
      <c r="J17" s="255" t="s">
        <v>110</v>
      </c>
      <c r="K17" s="249" t="s">
        <v>110</v>
      </c>
      <c r="L17" s="249" t="s">
        <v>110</v>
      </c>
    </row>
    <row r="18" spans="1:12" ht="60" x14ac:dyDescent="0.2">
      <c r="A18" s="117" t="s">
        <v>529</v>
      </c>
      <c r="B18" s="144" t="s">
        <v>328</v>
      </c>
      <c r="C18" s="145" t="s">
        <v>565</v>
      </c>
      <c r="D18" s="145" t="s">
        <v>561</v>
      </c>
      <c r="E18" s="267" t="s">
        <v>566</v>
      </c>
      <c r="F18" s="149" t="s">
        <v>153</v>
      </c>
      <c r="G18" s="268">
        <v>2.7536852285265923E-2</v>
      </c>
      <c r="H18" s="267" t="s">
        <v>555</v>
      </c>
      <c r="I18" s="248" t="s">
        <v>1292</v>
      </c>
      <c r="J18" s="500" t="s">
        <v>110</v>
      </c>
      <c r="K18" s="256" t="s">
        <v>110</v>
      </c>
      <c r="L18" s="256" t="s">
        <v>120</v>
      </c>
    </row>
    <row r="19" spans="1:12" ht="48" x14ac:dyDescent="0.2">
      <c r="A19" s="117" t="s">
        <v>532</v>
      </c>
      <c r="B19" s="238"/>
      <c r="C19" s="247" t="s">
        <v>567</v>
      </c>
      <c r="D19" s="247" t="s">
        <v>554</v>
      </c>
      <c r="E19" s="271" t="s">
        <v>566</v>
      </c>
      <c r="F19" s="448" t="s">
        <v>620</v>
      </c>
      <c r="G19" s="449">
        <v>1.1938437819480896E-2</v>
      </c>
      <c r="H19" s="271">
        <v>0</v>
      </c>
      <c r="I19" s="442" t="s">
        <v>693</v>
      </c>
      <c r="J19" s="501" t="str">
        <f>"EUR 27,715 ("&amp;TEXT(27715/'Average wages'!B6,"0%")&amp;" of AW)"</f>
        <v>EUR 27,715 (60% of AW)</v>
      </c>
      <c r="K19" s="251" t="s">
        <v>1321</v>
      </c>
      <c r="L19" s="251" t="s">
        <v>153</v>
      </c>
    </row>
    <row r="20" spans="1:12" ht="48" x14ac:dyDescent="0.2">
      <c r="A20" s="117" t="s">
        <v>533</v>
      </c>
      <c r="B20" s="150"/>
      <c r="C20" s="151" t="s">
        <v>568</v>
      </c>
      <c r="D20" s="151" t="s">
        <v>561</v>
      </c>
      <c r="E20" s="276" t="s">
        <v>120</v>
      </c>
      <c r="F20" s="93" t="s">
        <v>1275</v>
      </c>
      <c r="G20" s="450">
        <v>2.0676666870713234E-2</v>
      </c>
      <c r="H20" s="276">
        <v>0</v>
      </c>
      <c r="I20" s="443" t="s">
        <v>174</v>
      </c>
      <c r="J20" s="278" t="s">
        <v>110</v>
      </c>
      <c r="K20" s="249" t="s">
        <v>110</v>
      </c>
      <c r="L20" s="249" t="s">
        <v>120</v>
      </c>
    </row>
    <row r="21" spans="1:12" ht="36" x14ac:dyDescent="0.2">
      <c r="A21" s="266" t="s">
        <v>529</v>
      </c>
      <c r="B21" s="157" t="s">
        <v>534</v>
      </c>
      <c r="C21" s="145" t="s">
        <v>569</v>
      </c>
      <c r="D21" s="145" t="s">
        <v>570</v>
      </c>
      <c r="E21" s="267">
        <v>17</v>
      </c>
      <c r="F21" s="149" t="s">
        <v>153</v>
      </c>
      <c r="G21" s="268">
        <v>3.0158929526805878E-2</v>
      </c>
      <c r="H21" s="267">
        <v>0</v>
      </c>
      <c r="I21" s="250" t="s">
        <v>1293</v>
      </c>
      <c r="J21" s="269" t="str">
        <f>"CAD 43,953 ("&amp;TEXT(43953/'Average wages'!B7,"0%")&amp;" of AW)"</f>
        <v>CAD 43,953 (88% of AW)</v>
      </c>
      <c r="K21" s="256" t="s">
        <v>1322</v>
      </c>
      <c r="L21" s="256" t="s">
        <v>120</v>
      </c>
    </row>
    <row r="22" spans="1:12" ht="36" x14ac:dyDescent="0.2">
      <c r="A22" s="266" t="s">
        <v>530</v>
      </c>
      <c r="B22" s="238"/>
      <c r="C22" s="247" t="s">
        <v>571</v>
      </c>
      <c r="D22" s="247" t="s">
        <v>570</v>
      </c>
      <c r="E22" s="271">
        <v>17</v>
      </c>
      <c r="F22" s="448" t="s">
        <v>153</v>
      </c>
      <c r="G22" s="449">
        <v>4.6740081161260605E-2</v>
      </c>
      <c r="H22" s="271">
        <v>0</v>
      </c>
      <c r="I22" s="442" t="s">
        <v>1294</v>
      </c>
      <c r="J22" s="274" t="str">
        <f>"CAD 25,584 ("&amp;TEXT(25584/'Average wages'!B7,"0%")&amp;" of AW)"</f>
        <v>CAD 25,584 (51% of AW)</v>
      </c>
      <c r="K22" s="251" t="s">
        <v>1323</v>
      </c>
      <c r="L22" s="251" t="s">
        <v>120</v>
      </c>
    </row>
    <row r="23" spans="1:12" ht="36" x14ac:dyDescent="0.2">
      <c r="A23" s="266" t="s">
        <v>531</v>
      </c>
      <c r="B23" s="238"/>
      <c r="C23" s="247" t="s">
        <v>572</v>
      </c>
      <c r="D23" s="247" t="s">
        <v>570</v>
      </c>
      <c r="E23" s="271" t="s">
        <v>120</v>
      </c>
      <c r="F23" s="448" t="s">
        <v>153</v>
      </c>
      <c r="G23" s="449">
        <v>2.5236723944544792E-2</v>
      </c>
      <c r="H23" s="271">
        <v>0</v>
      </c>
      <c r="I23" s="273" t="s">
        <v>589</v>
      </c>
      <c r="J23" s="274" t="str">
        <f>"CAD 15,509 ("&amp;TEXT(15509/'Average wages'!B7,"0%")&amp;" of AW)"</f>
        <v>CAD 15,509 (31% of AW)</v>
      </c>
      <c r="K23" s="251">
        <v>0.15</v>
      </c>
      <c r="L23" s="251" t="s">
        <v>120</v>
      </c>
    </row>
    <row r="24" spans="1:12" ht="24" x14ac:dyDescent="0.2">
      <c r="A24" s="266" t="s">
        <v>535</v>
      </c>
      <c r="B24" s="238"/>
      <c r="C24" s="247" t="s">
        <v>573</v>
      </c>
      <c r="D24" s="247" t="s">
        <v>554</v>
      </c>
      <c r="E24" s="271">
        <v>17</v>
      </c>
      <c r="F24" s="448" t="s">
        <v>153</v>
      </c>
      <c r="G24" s="449">
        <v>2.2942477837204933E-2</v>
      </c>
      <c r="H24" s="271">
        <v>0</v>
      </c>
      <c r="I24" s="273">
        <v>0</v>
      </c>
      <c r="J24" s="274" t="str">
        <f>"CAD 20,000 ("&amp;TEXT(20000/'Average wages'!B7,"0%")&amp;" of AW) of adjusted family net income"</f>
        <v>CAD 20,000 (40% of AW) of adjusted family net income</v>
      </c>
      <c r="K24" s="251">
        <v>0.08</v>
      </c>
      <c r="L24" s="251" t="s">
        <v>120</v>
      </c>
    </row>
    <row r="25" spans="1:12" ht="24" x14ac:dyDescent="0.2">
      <c r="A25" s="266" t="s">
        <v>536</v>
      </c>
      <c r="B25" s="238"/>
      <c r="C25" s="247" t="s">
        <v>574</v>
      </c>
      <c r="D25" s="247" t="s">
        <v>554</v>
      </c>
      <c r="E25" s="271">
        <v>7</v>
      </c>
      <c r="F25" s="448" t="s">
        <v>153</v>
      </c>
      <c r="G25" s="449">
        <v>3.7479665130376816E-2</v>
      </c>
      <c r="H25" s="271">
        <v>0</v>
      </c>
      <c r="I25" s="273">
        <v>0</v>
      </c>
      <c r="J25" s="274" t="str">
        <f>J24</f>
        <v>CAD 20,000 (40% of AW) of adjusted family net income</v>
      </c>
      <c r="K25" s="251">
        <v>0.08</v>
      </c>
      <c r="L25" s="251" t="s">
        <v>120</v>
      </c>
    </row>
    <row r="26" spans="1:12" ht="36" x14ac:dyDescent="0.2">
      <c r="A26" s="266" t="s">
        <v>537</v>
      </c>
      <c r="B26" s="238"/>
      <c r="C26" s="245" t="s">
        <v>575</v>
      </c>
      <c r="D26" s="247" t="s">
        <v>570</v>
      </c>
      <c r="E26" s="271">
        <v>17</v>
      </c>
      <c r="F26" s="448" t="s">
        <v>153</v>
      </c>
      <c r="G26" s="449">
        <v>5.8607598766684532E-3</v>
      </c>
      <c r="H26" s="271">
        <v>0</v>
      </c>
      <c r="I26" s="273">
        <v>0</v>
      </c>
      <c r="J26" s="274" t="str">
        <f>"CAD 27,031 ("&amp;TEXT(27031/'Average wages'!B7,"0%")&amp;" of AW) of net family income"</f>
        <v>CAD 27,031 (54% of AW) of net family income</v>
      </c>
      <c r="K26" s="251">
        <v>0.04</v>
      </c>
      <c r="L26" s="251" t="s">
        <v>120</v>
      </c>
    </row>
    <row r="27" spans="1:12" ht="36" x14ac:dyDescent="0.2">
      <c r="A27" s="266" t="s">
        <v>538</v>
      </c>
      <c r="B27" s="238"/>
      <c r="C27" s="245" t="s">
        <v>576</v>
      </c>
      <c r="D27" s="247" t="s">
        <v>570</v>
      </c>
      <c r="E27" s="271">
        <v>18</v>
      </c>
      <c r="F27" s="448" t="s">
        <v>153</v>
      </c>
      <c r="G27" s="281">
        <v>2.9408084228634834E-3</v>
      </c>
      <c r="H27" s="271">
        <v>0</v>
      </c>
      <c r="I27" s="273">
        <v>0</v>
      </c>
      <c r="J27" s="274" t="str">
        <f>"CAD 34,872 ("&amp;TEXT(34872/'Average wages'!B7,"0%")&amp;" of AW) of net family income"</f>
        <v>CAD 34,872 (70% of AW) of net family income</v>
      </c>
      <c r="K27" s="251">
        <v>0.05</v>
      </c>
      <c r="L27" s="251" t="s">
        <v>120</v>
      </c>
    </row>
    <row r="28" spans="1:12" ht="48" x14ac:dyDescent="0.2">
      <c r="A28" s="117" t="s">
        <v>532</v>
      </c>
      <c r="B28" s="238"/>
      <c r="C28" s="247" t="s">
        <v>577</v>
      </c>
      <c r="D28" s="247" t="s">
        <v>570</v>
      </c>
      <c r="E28" s="271">
        <v>17</v>
      </c>
      <c r="F28" s="448" t="s">
        <v>620</v>
      </c>
      <c r="G28" s="449">
        <v>4.6740081161260605E-2</v>
      </c>
      <c r="H28" s="271">
        <v>0</v>
      </c>
      <c r="I28" s="442" t="s">
        <v>174</v>
      </c>
      <c r="J28" s="274" t="str">
        <f>"As above, withdrawal of Goods and Services Tax Credit begins at "&amp;J27</f>
        <v>As above, withdrawal of Goods and Services Tax Credit begins at CAD 34,872 (70% of AW) of net family income</v>
      </c>
      <c r="K28" s="251">
        <v>0.05</v>
      </c>
      <c r="L28" s="251" t="s">
        <v>120</v>
      </c>
    </row>
    <row r="29" spans="1:12" ht="36" x14ac:dyDescent="0.2">
      <c r="A29" s="117" t="s">
        <v>533</v>
      </c>
      <c r="B29" s="238"/>
      <c r="C29" s="247" t="s">
        <v>578</v>
      </c>
      <c r="D29" s="247" t="s">
        <v>570</v>
      </c>
      <c r="E29" s="271">
        <v>17</v>
      </c>
      <c r="F29" s="448" t="s">
        <v>153</v>
      </c>
      <c r="G29" s="449">
        <v>2.5236723944544792E-2</v>
      </c>
      <c r="H29" s="271">
        <v>0</v>
      </c>
      <c r="I29" s="442" t="s">
        <v>174</v>
      </c>
      <c r="J29" s="274" t="s">
        <v>1314</v>
      </c>
      <c r="K29" s="251" t="s">
        <v>1315</v>
      </c>
      <c r="L29" s="251" t="s">
        <v>120</v>
      </c>
    </row>
    <row r="30" spans="1:12" ht="48" x14ac:dyDescent="0.2">
      <c r="A30" s="117" t="s">
        <v>539</v>
      </c>
      <c r="B30" s="238"/>
      <c r="C30" s="247" t="s">
        <v>579</v>
      </c>
      <c r="D30" s="247" t="s">
        <v>554</v>
      </c>
      <c r="E30" s="271">
        <v>7</v>
      </c>
      <c r="F30" s="448" t="s">
        <v>620</v>
      </c>
      <c r="G30" s="449">
        <v>2.2942477837204933E-2</v>
      </c>
      <c r="H30" s="271">
        <v>0</v>
      </c>
      <c r="I30" s="273" t="s">
        <v>589</v>
      </c>
      <c r="J30" s="274" t="str">
        <f>"As above, withdrawal of OCCS begins at "&amp;J24</f>
        <v>As above, withdrawal of OCCS begins at CAD 20,000 (40% of AW) of adjusted family net income</v>
      </c>
      <c r="K30" s="251">
        <v>0.08</v>
      </c>
      <c r="L30" s="251" t="s">
        <v>120</v>
      </c>
    </row>
    <row r="31" spans="1:12" ht="24" x14ac:dyDescent="0.2">
      <c r="A31" s="117" t="s">
        <v>540</v>
      </c>
      <c r="B31" s="150"/>
      <c r="C31" s="151" t="s">
        <v>580</v>
      </c>
      <c r="D31" s="151" t="s">
        <v>581</v>
      </c>
      <c r="E31" s="276">
        <v>17</v>
      </c>
      <c r="F31" s="93" t="s">
        <v>153</v>
      </c>
      <c r="G31" s="450">
        <v>3.7479665130376816E-2</v>
      </c>
      <c r="H31" s="276">
        <v>0</v>
      </c>
      <c r="I31" s="443" t="s">
        <v>174</v>
      </c>
      <c r="J31" s="278" t="str">
        <f>"CAD 813 ("&amp;TEXT(813/'Average wages'!B7,"0%")&amp;" of AW) of dependent's income"</f>
        <v>CAD 813 (2% of AW) of dependent's income</v>
      </c>
      <c r="K31" s="249">
        <v>5.0500000000000003E-2</v>
      </c>
      <c r="L31" s="249" t="s">
        <v>120</v>
      </c>
    </row>
    <row r="32" spans="1:12" ht="72" x14ac:dyDescent="0.2">
      <c r="A32" s="266" t="s">
        <v>529</v>
      </c>
      <c r="B32" s="144" t="s">
        <v>64</v>
      </c>
      <c r="C32" s="145" t="s">
        <v>582</v>
      </c>
      <c r="D32" s="145" t="s">
        <v>554</v>
      </c>
      <c r="E32" s="267" t="s">
        <v>583</v>
      </c>
      <c r="F32" s="149" t="s">
        <v>153</v>
      </c>
      <c r="G32" s="268">
        <v>1.5673142482328876E-2</v>
      </c>
      <c r="H32" s="267">
        <v>0</v>
      </c>
      <c r="I32" s="250">
        <v>0</v>
      </c>
      <c r="J32" s="500" t="str">
        <f>"CLP 2,644,248 ("&amp;TEXT(2644248/'Average wages'!B8,"0%")&amp;" of AW)"</f>
        <v>CLP 2,644,248 (34% of AW)</v>
      </c>
      <c r="K32" s="256" t="s">
        <v>584</v>
      </c>
      <c r="L32" s="256" t="s">
        <v>120</v>
      </c>
    </row>
    <row r="33" spans="1:12" ht="48" x14ac:dyDescent="0.2">
      <c r="A33" s="266" t="s">
        <v>530</v>
      </c>
      <c r="B33" s="150"/>
      <c r="C33" s="151" t="s">
        <v>585</v>
      </c>
      <c r="D33" s="151" t="s">
        <v>554</v>
      </c>
      <c r="E33" s="276">
        <v>17</v>
      </c>
      <c r="F33" s="93" t="s">
        <v>1276</v>
      </c>
      <c r="G33" s="450">
        <v>1.5309749426861001E-2</v>
      </c>
      <c r="H33" s="276">
        <v>0</v>
      </c>
      <c r="I33" s="283">
        <v>0</v>
      </c>
      <c r="J33" s="499" t="str">
        <f>"CLP 1,440,000 ("&amp;TEXT(1440000/'Average wages'!B8,"0%")&amp;" of AW)"</f>
        <v>CLP 1,440,000 (18% of AW)</v>
      </c>
      <c r="K33" s="249" t="s">
        <v>1324</v>
      </c>
      <c r="L33" s="249" t="s">
        <v>120</v>
      </c>
    </row>
    <row r="34" spans="1:12" ht="48" x14ac:dyDescent="0.2">
      <c r="A34" s="117" t="s">
        <v>529</v>
      </c>
      <c r="B34" s="142" t="s">
        <v>329</v>
      </c>
      <c r="C34" s="138" t="s">
        <v>586</v>
      </c>
      <c r="D34" s="138" t="s">
        <v>554</v>
      </c>
      <c r="E34" s="284" t="s">
        <v>587</v>
      </c>
      <c r="F34" s="453" t="s">
        <v>153</v>
      </c>
      <c r="G34" s="504">
        <v>2.4206109066378309E-2</v>
      </c>
      <c r="H34" s="284" t="s">
        <v>555</v>
      </c>
      <c r="I34" s="285">
        <v>0</v>
      </c>
      <c r="J34" s="496" t="s">
        <v>588</v>
      </c>
      <c r="K34" s="495" t="s">
        <v>1324</v>
      </c>
      <c r="L34" s="495" t="s">
        <v>341</v>
      </c>
    </row>
    <row r="35" spans="1:12" ht="24" x14ac:dyDescent="0.2">
      <c r="A35" s="117" t="s">
        <v>529</v>
      </c>
      <c r="B35" s="144" t="s">
        <v>66</v>
      </c>
      <c r="C35" s="145" t="s">
        <v>1019</v>
      </c>
      <c r="D35" s="145" t="s">
        <v>561</v>
      </c>
      <c r="E35" s="267">
        <v>17</v>
      </c>
      <c r="F35" s="149" t="s">
        <v>153</v>
      </c>
      <c r="G35" s="268">
        <f>3486*4/'Average wages'!B10</f>
        <v>3.5070422535211268E-2</v>
      </c>
      <c r="H35" s="267" t="s">
        <v>589</v>
      </c>
      <c r="I35" s="250">
        <v>0</v>
      </c>
      <c r="J35" s="500" t="s">
        <v>110</v>
      </c>
      <c r="K35" s="256" t="s">
        <v>1022</v>
      </c>
      <c r="L35" s="256" t="s">
        <v>110</v>
      </c>
    </row>
    <row r="36" spans="1:12" ht="24" x14ac:dyDescent="0.2">
      <c r="A36" s="117" t="s">
        <v>532</v>
      </c>
      <c r="B36" s="238"/>
      <c r="C36" s="247" t="s">
        <v>1020</v>
      </c>
      <c r="D36" s="247" t="s">
        <v>561</v>
      </c>
      <c r="E36" s="271">
        <v>17</v>
      </c>
      <c r="F36" s="448" t="s">
        <v>620</v>
      </c>
      <c r="G36" s="449">
        <f>(5276+5380)/'Average wages'!B10</f>
        <v>2.6800804828973842E-2</v>
      </c>
      <c r="H36" s="271">
        <v>0</v>
      </c>
      <c r="I36" s="286" t="s">
        <v>1294</v>
      </c>
      <c r="J36" s="501" t="s">
        <v>110</v>
      </c>
      <c r="K36" s="251" t="s">
        <v>110</v>
      </c>
      <c r="L36" s="251" t="s">
        <v>110</v>
      </c>
    </row>
    <row r="37" spans="1:12" ht="36" x14ac:dyDescent="0.2">
      <c r="A37" s="117" t="s">
        <v>533</v>
      </c>
      <c r="B37" s="150"/>
      <c r="C37" s="151" t="s">
        <v>1021</v>
      </c>
      <c r="D37" s="151" t="s">
        <v>561</v>
      </c>
      <c r="E37" s="276">
        <v>17</v>
      </c>
      <c r="F37" s="93" t="s">
        <v>593</v>
      </c>
      <c r="G37" s="450">
        <f>(15240)/'Average wages'!B10</f>
        <v>3.8329979879275652E-2</v>
      </c>
      <c r="H37" s="276">
        <v>0</v>
      </c>
      <c r="I37" s="283">
        <v>0</v>
      </c>
      <c r="J37" s="499" t="s">
        <v>110</v>
      </c>
      <c r="K37" s="249" t="s">
        <v>110</v>
      </c>
      <c r="L37" s="249" t="s">
        <v>110</v>
      </c>
    </row>
    <row r="38" spans="1:12" ht="24" x14ac:dyDescent="0.2">
      <c r="A38" s="117" t="s">
        <v>529</v>
      </c>
      <c r="B38" s="144" t="s">
        <v>67</v>
      </c>
      <c r="C38" s="145" t="s">
        <v>590</v>
      </c>
      <c r="D38" s="145" t="s">
        <v>561</v>
      </c>
      <c r="E38" s="267" t="s">
        <v>591</v>
      </c>
      <c r="F38" s="149" t="s">
        <v>153</v>
      </c>
      <c r="G38" s="268">
        <v>1.9E-2</v>
      </c>
      <c r="H38" s="267">
        <v>0</v>
      </c>
      <c r="I38" s="250" t="s">
        <v>1295</v>
      </c>
      <c r="J38" s="500" t="s">
        <v>110</v>
      </c>
      <c r="K38" s="256" t="s">
        <v>110</v>
      </c>
      <c r="L38" s="256" t="s">
        <v>110</v>
      </c>
    </row>
    <row r="39" spans="1:12" ht="24" x14ac:dyDescent="0.2">
      <c r="A39" s="117" t="s">
        <v>532</v>
      </c>
      <c r="B39" s="238"/>
      <c r="C39" s="247" t="s">
        <v>592</v>
      </c>
      <c r="D39" s="247" t="s">
        <v>561</v>
      </c>
      <c r="E39" s="271" t="s">
        <v>591</v>
      </c>
      <c r="F39" s="448" t="s">
        <v>620</v>
      </c>
      <c r="G39" s="449">
        <v>1.9E-2</v>
      </c>
      <c r="H39" s="271">
        <v>0</v>
      </c>
      <c r="I39" s="273">
        <v>0</v>
      </c>
      <c r="J39" s="501" t="s">
        <v>110</v>
      </c>
      <c r="K39" s="251" t="s">
        <v>110</v>
      </c>
      <c r="L39" s="251" t="s">
        <v>110</v>
      </c>
    </row>
    <row r="40" spans="1:12" ht="84" x14ac:dyDescent="0.2">
      <c r="A40" s="117"/>
      <c r="B40" s="238"/>
      <c r="C40" s="247" t="s">
        <v>1249</v>
      </c>
      <c r="D40" s="247" t="s">
        <v>554</v>
      </c>
      <c r="E40" s="271" t="s">
        <v>591</v>
      </c>
      <c r="F40" s="448" t="s">
        <v>153</v>
      </c>
      <c r="G40" s="449">
        <v>8.9999999999999993E-3</v>
      </c>
      <c r="H40" s="271">
        <v>0</v>
      </c>
      <c r="I40" s="273" t="s">
        <v>1296</v>
      </c>
      <c r="J40" s="501" t="s">
        <v>1314</v>
      </c>
      <c r="K40" s="251" t="s">
        <v>1325</v>
      </c>
      <c r="L40" s="251" t="s">
        <v>341</v>
      </c>
    </row>
    <row r="41" spans="1:12" ht="24" x14ac:dyDescent="0.2">
      <c r="A41" s="117" t="s">
        <v>533</v>
      </c>
      <c r="B41" s="150"/>
      <c r="C41" s="151" t="s">
        <v>1250</v>
      </c>
      <c r="D41" s="151" t="s">
        <v>561</v>
      </c>
      <c r="E41" s="276" t="s">
        <v>591</v>
      </c>
      <c r="F41" s="93" t="s">
        <v>593</v>
      </c>
      <c r="G41" s="450">
        <v>2.3E-2</v>
      </c>
      <c r="H41" s="276">
        <v>0</v>
      </c>
      <c r="I41" s="283">
        <v>0</v>
      </c>
      <c r="J41" s="499" t="s">
        <v>110</v>
      </c>
      <c r="K41" s="249" t="s">
        <v>110</v>
      </c>
      <c r="L41" s="249" t="s">
        <v>110</v>
      </c>
    </row>
    <row r="42" spans="1:12" x14ac:dyDescent="0.2">
      <c r="A42" s="117" t="s">
        <v>529</v>
      </c>
      <c r="B42" s="144" t="s">
        <v>68</v>
      </c>
      <c r="C42" s="145" t="s">
        <v>594</v>
      </c>
      <c r="D42" s="145" t="s">
        <v>561</v>
      </c>
      <c r="E42" s="267">
        <v>16</v>
      </c>
      <c r="F42" s="149" t="s">
        <v>153</v>
      </c>
      <c r="G42" s="268">
        <v>2.9000000000000001E-2</v>
      </c>
      <c r="H42" s="267">
        <v>0</v>
      </c>
      <c r="I42" s="250" t="s">
        <v>555</v>
      </c>
      <c r="J42" s="500" t="s">
        <v>110</v>
      </c>
      <c r="K42" s="256" t="s">
        <v>110</v>
      </c>
      <c r="L42" s="256" t="s">
        <v>110</v>
      </c>
    </row>
    <row r="43" spans="1:12" ht="24" x14ac:dyDescent="0.2">
      <c r="A43" s="117" t="s">
        <v>532</v>
      </c>
      <c r="B43" s="238"/>
      <c r="C43" s="247" t="s">
        <v>595</v>
      </c>
      <c r="D43" s="247" t="s">
        <v>561</v>
      </c>
      <c r="E43" s="271">
        <v>16</v>
      </c>
      <c r="F43" s="448" t="s">
        <v>153</v>
      </c>
      <c r="G43" s="449">
        <v>1.4E-2</v>
      </c>
      <c r="H43" s="271">
        <v>0</v>
      </c>
      <c r="I43" s="273">
        <v>0</v>
      </c>
      <c r="J43" s="501" t="s">
        <v>110</v>
      </c>
      <c r="K43" s="251" t="s">
        <v>110</v>
      </c>
      <c r="L43" s="251" t="s">
        <v>110</v>
      </c>
    </row>
    <row r="44" spans="1:12" x14ac:dyDescent="0.2">
      <c r="A44" s="117" t="s">
        <v>533</v>
      </c>
      <c r="B44" s="150"/>
      <c r="C44" s="151" t="s">
        <v>970</v>
      </c>
      <c r="D44" s="151" t="s">
        <v>561</v>
      </c>
      <c r="E44" s="276">
        <v>17</v>
      </c>
      <c r="F44" s="93" t="s">
        <v>153</v>
      </c>
      <c r="G44" s="450">
        <v>4.3121618436195726E-2</v>
      </c>
      <c r="H44" s="276">
        <v>0</v>
      </c>
      <c r="I44" s="283">
        <v>0</v>
      </c>
      <c r="J44" s="499" t="s">
        <v>110</v>
      </c>
      <c r="K44" s="249" t="s">
        <v>110</v>
      </c>
      <c r="L44" s="249" t="s">
        <v>110</v>
      </c>
    </row>
    <row r="45" spans="1:12" ht="36" x14ac:dyDescent="0.2">
      <c r="A45" s="266" t="s">
        <v>529</v>
      </c>
      <c r="B45" s="144" t="s">
        <v>69</v>
      </c>
      <c r="C45" s="145" t="s">
        <v>596</v>
      </c>
      <c r="D45" s="145" t="s">
        <v>561</v>
      </c>
      <c r="E45" s="267">
        <v>19</v>
      </c>
      <c r="F45" s="149" t="s">
        <v>1277</v>
      </c>
      <c r="G45" s="268">
        <v>4.2125965110122517E-2</v>
      </c>
      <c r="H45" s="267" t="s">
        <v>555</v>
      </c>
      <c r="I45" s="250" t="s">
        <v>1297</v>
      </c>
      <c r="J45" s="500" t="s">
        <v>110</v>
      </c>
      <c r="K45" s="256" t="s">
        <v>110</v>
      </c>
      <c r="L45" s="256" t="s">
        <v>110</v>
      </c>
    </row>
    <row r="46" spans="1:12" ht="72" x14ac:dyDescent="0.2">
      <c r="A46" s="266" t="s">
        <v>530</v>
      </c>
      <c r="B46" s="238"/>
      <c r="C46" s="247" t="s">
        <v>597</v>
      </c>
      <c r="D46" s="247" t="s">
        <v>554</v>
      </c>
      <c r="E46" s="271">
        <v>2</v>
      </c>
      <c r="F46" s="448" t="s">
        <v>153</v>
      </c>
      <c r="G46" s="449">
        <v>6.0490253025316548E-2</v>
      </c>
      <c r="H46" s="271">
        <v>0</v>
      </c>
      <c r="I46" s="273">
        <v>0</v>
      </c>
      <c r="J46" s="274" t="s">
        <v>598</v>
      </c>
      <c r="K46" s="251" t="s">
        <v>1326</v>
      </c>
      <c r="L46" s="251" t="s">
        <v>120</v>
      </c>
    </row>
    <row r="47" spans="1:12" ht="72" x14ac:dyDescent="0.2">
      <c r="A47" s="266" t="s">
        <v>531</v>
      </c>
      <c r="B47" s="238"/>
      <c r="C47" s="247" t="s">
        <v>599</v>
      </c>
      <c r="D47" s="247" t="s">
        <v>554</v>
      </c>
      <c r="E47" s="271" t="s">
        <v>1268</v>
      </c>
      <c r="F47" s="448" t="s">
        <v>1269</v>
      </c>
      <c r="G47" s="449">
        <v>5.482957646364383E-2</v>
      </c>
      <c r="H47" s="271">
        <v>0</v>
      </c>
      <c r="I47" s="273">
        <v>0</v>
      </c>
      <c r="J47" s="274" t="s">
        <v>598</v>
      </c>
      <c r="K47" s="251" t="str">
        <f>K46</f>
        <v>Benefit fully withdrawn when net taxable income exceeds a threshold which varies by family size</v>
      </c>
      <c r="L47" s="251" t="s">
        <v>120</v>
      </c>
    </row>
    <row r="48" spans="1:12" ht="72" x14ac:dyDescent="0.2">
      <c r="A48" s="266" t="s">
        <v>535</v>
      </c>
      <c r="B48" s="238"/>
      <c r="C48" s="247" t="s">
        <v>600</v>
      </c>
      <c r="D48" s="247" t="s">
        <v>554</v>
      </c>
      <c r="E48" s="271" t="s">
        <v>1270</v>
      </c>
      <c r="F48" s="448" t="s">
        <v>153</v>
      </c>
      <c r="G48" s="281">
        <v>9.793370989075038E-3</v>
      </c>
      <c r="H48" s="271" t="s">
        <v>555</v>
      </c>
      <c r="I48" s="273">
        <v>0</v>
      </c>
      <c r="J48" s="274" t="s">
        <v>598</v>
      </c>
      <c r="K48" s="251" t="str">
        <f>K46</f>
        <v>Benefit fully withdrawn when net taxable income exceeds a threshold which varies by family size</v>
      </c>
      <c r="L48" s="251" t="s">
        <v>120</v>
      </c>
    </row>
    <row r="49" spans="1:12" ht="60" x14ac:dyDescent="0.2">
      <c r="A49" s="117" t="s">
        <v>532</v>
      </c>
      <c r="B49" s="238"/>
      <c r="C49" s="247" t="s">
        <v>601</v>
      </c>
      <c r="D49" s="247" t="s">
        <v>554</v>
      </c>
      <c r="E49" s="271" t="s">
        <v>602</v>
      </c>
      <c r="F49" s="448" t="s">
        <v>153</v>
      </c>
      <c r="G49" s="281">
        <v>1.9561203739934052E-3</v>
      </c>
      <c r="H49" s="271">
        <v>0</v>
      </c>
      <c r="I49" s="273">
        <v>0</v>
      </c>
      <c r="J49" s="274" t="str">
        <f>"EUR 17,451 ("&amp;TEXT(17451/'Average wages'!B13,"0%")&amp;" of AW)"</f>
        <v>EUR 17,451 (47% of AW)</v>
      </c>
      <c r="K49" s="275" t="s">
        <v>1327</v>
      </c>
      <c r="L49" s="251" t="s">
        <v>120</v>
      </c>
    </row>
    <row r="50" spans="1:12" ht="24" x14ac:dyDescent="0.2">
      <c r="A50" s="117" t="s">
        <v>533</v>
      </c>
      <c r="B50" s="238"/>
      <c r="C50" s="247" t="s">
        <v>603</v>
      </c>
      <c r="D50" s="247" t="s">
        <v>561</v>
      </c>
      <c r="E50" s="271">
        <v>19</v>
      </c>
      <c r="F50" s="448" t="s">
        <v>620</v>
      </c>
      <c r="G50" s="449">
        <v>2.9618922662883469E-2</v>
      </c>
      <c r="H50" s="271">
        <v>0</v>
      </c>
      <c r="I50" s="273">
        <v>0</v>
      </c>
      <c r="J50" s="501" t="s">
        <v>110</v>
      </c>
      <c r="K50" s="251" t="s">
        <v>110</v>
      </c>
      <c r="L50" s="251" t="s">
        <v>110</v>
      </c>
    </row>
    <row r="51" spans="1:12" ht="60" x14ac:dyDescent="0.2">
      <c r="A51" s="117" t="s">
        <v>530</v>
      </c>
      <c r="B51" s="150"/>
      <c r="C51" s="151" t="s">
        <v>1261</v>
      </c>
      <c r="D51" s="151" t="s">
        <v>554</v>
      </c>
      <c r="E51" s="276" t="s">
        <v>602</v>
      </c>
      <c r="F51" s="93" t="s">
        <v>620</v>
      </c>
      <c r="G51" s="505">
        <v>2.9341805609901074E-3</v>
      </c>
      <c r="H51" s="276">
        <v>0</v>
      </c>
      <c r="I51" s="283">
        <v>0</v>
      </c>
      <c r="J51" s="278" t="str">
        <f>J49</f>
        <v>EUR 17,451 (47% of AW)</v>
      </c>
      <c r="K51" s="279" t="str">
        <f>K49</f>
        <v>PPE calculated via multi-step function, see employment-related provisions sheet</v>
      </c>
      <c r="L51" s="249" t="s">
        <v>120</v>
      </c>
    </row>
    <row r="52" spans="1:12" ht="24" x14ac:dyDescent="0.2">
      <c r="A52" s="117" t="s">
        <v>531</v>
      </c>
      <c r="B52" s="144" t="s">
        <v>70</v>
      </c>
      <c r="C52" s="145" t="s">
        <v>905</v>
      </c>
      <c r="D52" s="169" t="s">
        <v>561</v>
      </c>
      <c r="E52" s="267" t="s">
        <v>604</v>
      </c>
      <c r="F52" s="149" t="s">
        <v>153</v>
      </c>
      <c r="G52" s="268">
        <f>184*12/'Average wages'!B14</f>
        <v>4.8031324777028497E-2</v>
      </c>
      <c r="H52" s="267">
        <v>0</v>
      </c>
      <c r="I52" s="280" t="s">
        <v>1298</v>
      </c>
      <c r="J52" s="500" t="s">
        <v>110</v>
      </c>
      <c r="K52" s="259" t="s">
        <v>110</v>
      </c>
      <c r="L52" s="256" t="s">
        <v>110</v>
      </c>
    </row>
    <row r="53" spans="1:12" ht="168" x14ac:dyDescent="0.2">
      <c r="A53" s="117" t="s">
        <v>532</v>
      </c>
      <c r="B53" s="238"/>
      <c r="C53" s="247" t="s">
        <v>605</v>
      </c>
      <c r="D53" s="247" t="s">
        <v>554</v>
      </c>
      <c r="E53" s="271" t="s">
        <v>604</v>
      </c>
      <c r="F53" s="448" t="s">
        <v>1278</v>
      </c>
      <c r="G53" s="449">
        <f>140*12/'Average wages'!B14</f>
        <v>3.6545573199912987E-2</v>
      </c>
      <c r="H53" s="271">
        <v>0</v>
      </c>
      <c r="I53" s="273">
        <v>0</v>
      </c>
      <c r="J53" s="501" t="s">
        <v>1316</v>
      </c>
      <c r="K53" s="251" t="s">
        <v>1332</v>
      </c>
      <c r="L53" s="251" t="s">
        <v>341</v>
      </c>
    </row>
    <row r="54" spans="1:12" ht="120" x14ac:dyDescent="0.2">
      <c r="A54" s="117" t="s">
        <v>533</v>
      </c>
      <c r="B54" s="238"/>
      <c r="C54" s="247" t="s">
        <v>606</v>
      </c>
      <c r="D54" s="247" t="s">
        <v>554</v>
      </c>
      <c r="E54" s="271" t="s">
        <v>604</v>
      </c>
      <c r="F54" s="448" t="s">
        <v>1279</v>
      </c>
      <c r="G54" s="281">
        <f>(100+100)*12/'Average wages'!B14</f>
        <v>5.2207961714161408E-2</v>
      </c>
      <c r="H54" s="271">
        <v>0</v>
      </c>
      <c r="I54" s="273">
        <v>0</v>
      </c>
      <c r="J54" s="501" t="s">
        <v>110</v>
      </c>
      <c r="K54" s="251" t="s">
        <v>1333</v>
      </c>
      <c r="L54" s="251" t="s">
        <v>110</v>
      </c>
    </row>
    <row r="55" spans="1:12" ht="71.25" customHeight="1" x14ac:dyDescent="0.2">
      <c r="A55" s="117"/>
      <c r="B55" s="238"/>
      <c r="C55" s="247" t="s">
        <v>907</v>
      </c>
      <c r="D55" s="247" t="s">
        <v>561</v>
      </c>
      <c r="E55" s="271" t="s">
        <v>604</v>
      </c>
      <c r="F55" s="448" t="s">
        <v>908</v>
      </c>
      <c r="G55" s="449">
        <f>7008/'Average wages'!B14</f>
        <v>0.15244724820535133</v>
      </c>
      <c r="H55" s="271">
        <v>0</v>
      </c>
      <c r="I55" s="273" t="s">
        <v>909</v>
      </c>
      <c r="J55" s="501" t="s">
        <v>110</v>
      </c>
      <c r="K55" s="31" t="s">
        <v>110</v>
      </c>
      <c r="L55" s="251" t="s">
        <v>110</v>
      </c>
    </row>
    <row r="56" spans="1:12" ht="24" x14ac:dyDescent="0.2">
      <c r="A56" s="117" t="s">
        <v>539</v>
      </c>
      <c r="B56" s="238"/>
      <c r="C56" s="247" t="s">
        <v>910</v>
      </c>
      <c r="D56" s="247" t="s">
        <v>561</v>
      </c>
      <c r="E56" s="271" t="s">
        <v>604</v>
      </c>
      <c r="F56" s="448" t="s">
        <v>911</v>
      </c>
      <c r="G56" s="449">
        <f>1308/'Average wages'!B14</f>
        <v>2.8453339134217968E-2</v>
      </c>
      <c r="H56" s="271">
        <v>0</v>
      </c>
      <c r="I56" s="273" t="s">
        <v>912</v>
      </c>
      <c r="J56" s="501" t="s">
        <v>110</v>
      </c>
      <c r="K56" s="31" t="s">
        <v>110</v>
      </c>
      <c r="L56" s="251" t="s">
        <v>110</v>
      </c>
    </row>
    <row r="57" spans="1:12" ht="84" x14ac:dyDescent="0.2">
      <c r="A57" s="260" t="s">
        <v>529</v>
      </c>
      <c r="B57" s="238"/>
      <c r="C57" s="247" t="s">
        <v>913</v>
      </c>
      <c r="D57" s="247" t="s">
        <v>554</v>
      </c>
      <c r="E57" s="271" t="s">
        <v>604</v>
      </c>
      <c r="F57" s="448" t="s">
        <v>607</v>
      </c>
      <c r="G57" s="449">
        <f>0.36*391/'Average wages'!B14</f>
        <v>3.0619969545355665E-3</v>
      </c>
      <c r="H57" s="271">
        <v>0</v>
      </c>
      <c r="I57" s="273" t="s">
        <v>914</v>
      </c>
      <c r="J57" s="274" t="s">
        <v>1328</v>
      </c>
      <c r="K57" s="275" t="s">
        <v>1328</v>
      </c>
      <c r="L57" s="251" t="s">
        <v>341</v>
      </c>
    </row>
    <row r="58" spans="1:12" ht="48" x14ac:dyDescent="0.2">
      <c r="A58" s="117" t="s">
        <v>530</v>
      </c>
      <c r="B58" s="150"/>
      <c r="C58" s="151" t="s">
        <v>915</v>
      </c>
      <c r="D58" s="151" t="s">
        <v>561</v>
      </c>
      <c r="E58" s="276">
        <v>12</v>
      </c>
      <c r="F58" s="93" t="s">
        <v>1280</v>
      </c>
      <c r="G58" s="450">
        <f>180*12/'Average wages'!B14</f>
        <v>4.698716554274527E-2</v>
      </c>
      <c r="H58" s="276" t="s">
        <v>916</v>
      </c>
      <c r="I58" s="283">
        <v>0</v>
      </c>
      <c r="J58" s="499" t="s">
        <v>110</v>
      </c>
      <c r="K58" s="249" t="s">
        <v>110</v>
      </c>
      <c r="L58" s="249" t="s">
        <v>110</v>
      </c>
    </row>
    <row r="59" spans="1:12" ht="48" x14ac:dyDescent="0.2">
      <c r="A59" s="117" t="s">
        <v>531</v>
      </c>
      <c r="B59" s="144" t="s">
        <v>541</v>
      </c>
      <c r="C59" s="145" t="s">
        <v>1073</v>
      </c>
      <c r="D59" s="145" t="s">
        <v>561</v>
      </c>
      <c r="E59" s="267" t="s">
        <v>608</v>
      </c>
      <c r="F59" s="149" t="s">
        <v>1281</v>
      </c>
      <c r="G59" s="268">
        <v>2E-3</v>
      </c>
      <c r="H59" s="267">
        <v>0</v>
      </c>
      <c r="I59" s="250" t="s">
        <v>1299</v>
      </c>
      <c r="J59" s="500" t="s">
        <v>110</v>
      </c>
      <c r="K59" s="256" t="s">
        <v>110</v>
      </c>
      <c r="L59" s="256" t="s">
        <v>120</v>
      </c>
    </row>
    <row r="60" spans="1:12" ht="48" x14ac:dyDescent="0.2">
      <c r="A60" s="117"/>
      <c r="B60" s="238"/>
      <c r="C60" s="247" t="s">
        <v>1251</v>
      </c>
      <c r="D60" s="247" t="s">
        <v>554</v>
      </c>
      <c r="E60" s="271" t="s">
        <v>1072</v>
      </c>
      <c r="F60" s="448" t="s">
        <v>153</v>
      </c>
      <c r="G60" s="449">
        <v>2.3E-2</v>
      </c>
      <c r="H60" s="271">
        <v>0</v>
      </c>
      <c r="I60" s="273" t="s">
        <v>1300</v>
      </c>
      <c r="J60" s="501" t="s">
        <v>110</v>
      </c>
      <c r="K60" s="251" t="str">
        <f>"Withdrawn in steps down to zero at income above EUR 18,000 ("&amp;TEXT(18000/'Average wages'!B15,"0%")&amp;" of AW)"</f>
        <v>Withdrawn in steps down to zero at income above EUR 18,000 (84% of AW)</v>
      </c>
      <c r="L60" s="251" t="s">
        <v>120</v>
      </c>
    </row>
    <row r="61" spans="1:12" ht="48" x14ac:dyDescent="0.2">
      <c r="A61" s="260" t="s">
        <v>532</v>
      </c>
      <c r="B61" s="238"/>
      <c r="C61" s="247" t="s">
        <v>609</v>
      </c>
      <c r="D61" s="247" t="s">
        <v>554</v>
      </c>
      <c r="E61" s="271">
        <v>16</v>
      </c>
      <c r="F61" s="448" t="s">
        <v>1271</v>
      </c>
      <c r="G61" s="449">
        <v>1.4446773234192353E-2</v>
      </c>
      <c r="H61" s="271">
        <v>0</v>
      </c>
      <c r="I61" s="273">
        <v>0</v>
      </c>
      <c r="J61" s="501" t="str">
        <f>"EUR 3,000 ("&amp;TEXT(3000/'Average wages'!B15,"0%")&amp;" of AW)"</f>
        <v>EUR 3,000 (14% of AW)</v>
      </c>
      <c r="K61" s="251" t="s">
        <v>1324</v>
      </c>
      <c r="L61" s="251" t="s">
        <v>120</v>
      </c>
    </row>
    <row r="62" spans="1:12" ht="84" x14ac:dyDescent="0.2">
      <c r="A62" s="117" t="s">
        <v>529</v>
      </c>
      <c r="B62" s="238"/>
      <c r="C62" s="247" t="s">
        <v>610</v>
      </c>
      <c r="D62" s="247" t="s">
        <v>554</v>
      </c>
      <c r="E62" s="271" t="s">
        <v>608</v>
      </c>
      <c r="F62" s="448" t="s">
        <v>1269</v>
      </c>
      <c r="G62" s="449">
        <v>2.3E-2</v>
      </c>
      <c r="H62" s="271">
        <v>0</v>
      </c>
      <c r="I62" s="442">
        <v>0</v>
      </c>
      <c r="J62" s="501" t="str">
        <f>"Varies by family size:
EUR 45,000 ("&amp;TEXT(45000/'Average wages'!B15,"0%")&amp;" of AW) for 3 child family
EUR 48,000 ("&amp;TEXT(48000/'Average wages'!B15,"0%")&amp;" of AW) for 4 child family plus EUR 4,000 ("&amp;TEXT(4000/'Average wages'!B15,"0%")&amp;" of AW) for each additional child"</f>
        <v>Varies by family size:
EUR 45,000 (211% of AW) for 3 child family
EUR 48,000 (225% of AW) for 4 child family plus EUR 4,000 (19% of AW) for each additional child</v>
      </c>
      <c r="K62" s="251" t="s">
        <v>1324</v>
      </c>
      <c r="L62" s="251" t="s">
        <v>120</v>
      </c>
    </row>
    <row r="63" spans="1:12" ht="48" x14ac:dyDescent="0.2">
      <c r="A63" s="117" t="s">
        <v>530</v>
      </c>
      <c r="B63" s="150"/>
      <c r="C63" s="151" t="s">
        <v>611</v>
      </c>
      <c r="D63" s="151" t="s">
        <v>554</v>
      </c>
      <c r="E63" s="276">
        <v>15</v>
      </c>
      <c r="F63" s="93" t="s">
        <v>612</v>
      </c>
      <c r="G63" s="450">
        <v>2.5437878310765893E-2</v>
      </c>
      <c r="H63" s="276">
        <v>0</v>
      </c>
      <c r="I63" s="283">
        <v>0</v>
      </c>
      <c r="J63" s="499" t="str">
        <f>"Varies by family size: EUR 2,820 ("&amp;TEXT(2820/'Average wages'!B15,"0%")&amp;" of AW) plus EUR 250 ("&amp;TEXT(250/'Average wages'!B15,"0%")&amp;" of AW) for the fourth subsequent family members"</f>
        <v>Varies by family size: EUR 2,820 (13% of AW) plus EUR 250 (1% of AW) for the fourth subsequent family members</v>
      </c>
      <c r="K63" s="249" t="s">
        <v>1324</v>
      </c>
      <c r="L63" s="249" t="s">
        <v>120</v>
      </c>
    </row>
    <row r="64" spans="1:12" ht="24" x14ac:dyDescent="0.2">
      <c r="A64" s="117" t="s">
        <v>531</v>
      </c>
      <c r="B64" s="144" t="s">
        <v>542</v>
      </c>
      <c r="C64" s="145" t="s">
        <v>613</v>
      </c>
      <c r="D64" s="145" t="s">
        <v>561</v>
      </c>
      <c r="E64" s="267" t="s">
        <v>614</v>
      </c>
      <c r="F64" s="149" t="s">
        <v>153</v>
      </c>
      <c r="G64" s="268">
        <v>4.9905915078131392E-2</v>
      </c>
      <c r="H64" s="267">
        <v>0</v>
      </c>
      <c r="I64" s="248" t="s">
        <v>1301</v>
      </c>
      <c r="J64" s="500" t="s">
        <v>110</v>
      </c>
      <c r="K64" s="256" t="s">
        <v>110</v>
      </c>
      <c r="L64" s="256" t="s">
        <v>120</v>
      </c>
    </row>
    <row r="65" spans="1:12" ht="36" x14ac:dyDescent="0.2">
      <c r="A65" s="117" t="s">
        <v>532</v>
      </c>
      <c r="B65" s="238"/>
      <c r="C65" s="247" t="s">
        <v>615</v>
      </c>
      <c r="D65" s="288" t="s">
        <v>643</v>
      </c>
      <c r="E65" s="271" t="s">
        <v>614</v>
      </c>
      <c r="F65" s="448" t="s">
        <v>153</v>
      </c>
      <c r="G65" s="449">
        <v>0.25566554855600099</v>
      </c>
      <c r="H65" s="271">
        <v>0</v>
      </c>
      <c r="I65" s="442" t="s">
        <v>906</v>
      </c>
      <c r="J65" s="501" t="s">
        <v>110</v>
      </c>
      <c r="K65" s="251" t="s">
        <v>110</v>
      </c>
      <c r="L65" s="251" t="s">
        <v>120</v>
      </c>
    </row>
    <row r="66" spans="1:12" ht="48" x14ac:dyDescent="0.2">
      <c r="A66" s="117" t="s">
        <v>529</v>
      </c>
      <c r="B66" s="238"/>
      <c r="C66" s="247" t="s">
        <v>616</v>
      </c>
      <c r="D66" s="247" t="s">
        <v>554</v>
      </c>
      <c r="E66" s="271" t="s">
        <v>614</v>
      </c>
      <c r="F66" s="448" t="s">
        <v>153</v>
      </c>
      <c r="G66" s="281">
        <v>3.9542938176661485E-3</v>
      </c>
      <c r="H66" s="271">
        <v>0</v>
      </c>
      <c r="I66" s="273">
        <v>0</v>
      </c>
      <c r="J66" s="274" t="str">
        <f>"HUF 444,600 ("&amp;TEXT(444600/'Average wages'!B16,"0%")&amp;" of AW)"</f>
        <v>HUF 444,600 (15% of AW)</v>
      </c>
      <c r="K66" s="275" t="s">
        <v>1324</v>
      </c>
      <c r="L66" s="251" t="s">
        <v>120</v>
      </c>
    </row>
    <row r="67" spans="1:12" ht="24" x14ac:dyDescent="0.2">
      <c r="A67" s="117" t="s">
        <v>532</v>
      </c>
      <c r="B67" s="150"/>
      <c r="C67" s="151" t="s">
        <v>617</v>
      </c>
      <c r="D67" s="151" t="s">
        <v>561</v>
      </c>
      <c r="E67" s="276" t="s">
        <v>614</v>
      </c>
      <c r="F67" s="93" t="s">
        <v>153</v>
      </c>
      <c r="G67" s="505">
        <v>3.9542938176661485E-3</v>
      </c>
      <c r="H67" s="276">
        <v>0</v>
      </c>
      <c r="I67" s="443" t="s">
        <v>1301</v>
      </c>
      <c r="J67" s="499" t="s">
        <v>110</v>
      </c>
      <c r="K67" s="249" t="s">
        <v>110</v>
      </c>
      <c r="L67" s="249" t="s">
        <v>120</v>
      </c>
    </row>
    <row r="68" spans="1:12" ht="60" x14ac:dyDescent="0.2">
      <c r="A68" s="117" t="s">
        <v>533</v>
      </c>
      <c r="B68" s="144" t="s">
        <v>73</v>
      </c>
      <c r="C68" s="145" t="s">
        <v>618</v>
      </c>
      <c r="D68" s="145" t="s">
        <v>554</v>
      </c>
      <c r="E68" s="267">
        <v>17</v>
      </c>
      <c r="F68" s="149" t="s">
        <v>153</v>
      </c>
      <c r="G68" s="268">
        <v>2.3E-2</v>
      </c>
      <c r="H68" s="267" t="s">
        <v>589</v>
      </c>
      <c r="I68" s="248" t="s">
        <v>1303</v>
      </c>
      <c r="J68" s="500" t="str">
        <f>"ISK 4,800,000 ("&amp;TEXT(4800000/'Average wages'!B17,"0%")&amp;" of AW) for couples
ISK 2,400,000 ("&amp;TEXT(2400000/'Average wages'!B17,"0%")&amp;" of AW) for lone parents"</f>
        <v>ISK 4,800,000 (67% of AW) for couples
ISK 2,400,000 (33% of AW) for lone parents</v>
      </c>
      <c r="K68" s="256" t="s">
        <v>1329</v>
      </c>
      <c r="L68" s="256" t="s">
        <v>120</v>
      </c>
    </row>
    <row r="69" spans="1:12" ht="60" x14ac:dyDescent="0.2">
      <c r="A69" s="117" t="s">
        <v>529</v>
      </c>
      <c r="B69" s="238"/>
      <c r="C69" s="247" t="s">
        <v>619</v>
      </c>
      <c r="D69" s="247" t="s">
        <v>554</v>
      </c>
      <c r="E69" s="271">
        <v>17</v>
      </c>
      <c r="F69" s="448" t="s">
        <v>620</v>
      </c>
      <c r="G69" s="449">
        <v>1.6E-2</v>
      </c>
      <c r="H69" s="271">
        <v>0</v>
      </c>
      <c r="I69" s="442" t="s">
        <v>1303</v>
      </c>
      <c r="J69" s="501" t="str">
        <f>"ISK 2,400,000 ("&amp;TEXT(2400000/'Average wages'!B17,"0%")&amp;" of AW)"</f>
        <v>ISK 2,400,000 (33% of AW)</v>
      </c>
      <c r="K69" s="251" t="str">
        <f>K68</f>
        <v xml:space="preserve"> 3% for 1-child families, 5% for 2 children, 7% for 3, plus 3% for each child under 7</v>
      </c>
      <c r="L69" s="251" t="s">
        <v>120</v>
      </c>
    </row>
    <row r="70" spans="1:12" ht="24" x14ac:dyDescent="0.2">
      <c r="A70" s="117" t="s">
        <v>532</v>
      </c>
      <c r="B70" s="150"/>
      <c r="C70" s="151" t="s">
        <v>621</v>
      </c>
      <c r="D70" s="151" t="s">
        <v>561</v>
      </c>
      <c r="E70" s="276">
        <v>17</v>
      </c>
      <c r="F70" s="93" t="s">
        <v>694</v>
      </c>
      <c r="G70" s="450">
        <v>1.3107913669064749E-2</v>
      </c>
      <c r="H70" s="276">
        <v>0</v>
      </c>
      <c r="I70" s="443" t="s">
        <v>1302</v>
      </c>
      <c r="J70" s="499" t="s">
        <v>110</v>
      </c>
      <c r="K70" s="249" t="s">
        <v>110</v>
      </c>
      <c r="L70" s="249" t="s">
        <v>110</v>
      </c>
    </row>
    <row r="71" spans="1:12" ht="36" x14ac:dyDescent="0.2">
      <c r="A71" s="117" t="s">
        <v>533</v>
      </c>
      <c r="B71" s="144" t="s">
        <v>543</v>
      </c>
      <c r="C71" s="244" t="s">
        <v>622</v>
      </c>
      <c r="D71" s="145" t="s">
        <v>561</v>
      </c>
      <c r="E71" s="267" t="s">
        <v>623</v>
      </c>
      <c r="F71" s="149" t="s">
        <v>153</v>
      </c>
      <c r="G71" s="268">
        <f>130*12/'Average wages'!B18</f>
        <v>3.5975462889413883E-2</v>
      </c>
      <c r="H71" s="267">
        <v>0</v>
      </c>
      <c r="I71" s="250" t="s">
        <v>1304</v>
      </c>
      <c r="J71" s="500" t="s">
        <v>110</v>
      </c>
      <c r="K71" s="256" t="s">
        <v>110</v>
      </c>
      <c r="L71" s="270" t="s">
        <v>110</v>
      </c>
    </row>
    <row r="72" spans="1:12" ht="72" x14ac:dyDescent="0.2">
      <c r="A72" s="117" t="s">
        <v>539</v>
      </c>
      <c r="B72" s="238"/>
      <c r="C72" s="247" t="s">
        <v>624</v>
      </c>
      <c r="D72" s="247" t="s">
        <v>554</v>
      </c>
      <c r="E72" s="271" t="s">
        <v>981</v>
      </c>
      <c r="F72" s="448" t="str">
        <f>"Earnings must be below EUR 425 per week ("&amp;TEXT(425*52*100/'Average wages'!B18,0)&amp;"% of AW)"</f>
        <v>Earnings must be below EUR 425 per week (51% of AW)</v>
      </c>
      <c r="G72" s="449">
        <f>29.8*52/'Average wages'!B18</f>
        <v>3.5735626470151133E-2</v>
      </c>
      <c r="H72" s="271">
        <v>0</v>
      </c>
      <c r="I72" s="442">
        <v>0</v>
      </c>
      <c r="J72" s="274" t="str">
        <f>"EUR 4680 ("&amp;TEXT(4380*100/'Average wages'!B18,0)&amp;"% of AW)"</f>
        <v>EUR 4680 (10% of AW)</v>
      </c>
      <c r="K72" s="474" t="str">
        <f>"50%
Benefit fully withdrawn if earnings exceed EUR 425/week ("&amp;TEXT(425*52*100/'Average wages'!B18,0)&amp;"% of AW)"</f>
        <v>50%
Benefit fully withdrawn if earnings exceed EUR 425/week (51% of AW)</v>
      </c>
      <c r="L72" s="275" t="s">
        <v>120</v>
      </c>
    </row>
    <row r="73" spans="1:12" ht="48" x14ac:dyDescent="0.2">
      <c r="A73" s="117"/>
      <c r="B73" s="238"/>
      <c r="C73" s="245" t="s">
        <v>982</v>
      </c>
      <c r="D73" s="247" t="s">
        <v>554</v>
      </c>
      <c r="E73" s="271" t="s">
        <v>983</v>
      </c>
      <c r="F73" s="448" t="s">
        <v>984</v>
      </c>
      <c r="G73" s="449">
        <f>G72</f>
        <v>3.5735626470151133E-2</v>
      </c>
      <c r="H73" s="271">
        <v>0</v>
      </c>
      <c r="I73" s="442">
        <v>0</v>
      </c>
      <c r="J73" s="274" t="str">
        <f>J72</f>
        <v>EUR 4680 (10% of AW)</v>
      </c>
      <c r="K73" s="474">
        <v>0.5</v>
      </c>
      <c r="L73" s="275" t="s">
        <v>120</v>
      </c>
    </row>
    <row r="74" spans="1:12" ht="24" x14ac:dyDescent="0.2">
      <c r="A74" s="266" t="s">
        <v>529</v>
      </c>
      <c r="B74" s="238"/>
      <c r="C74" s="245" t="s">
        <v>625</v>
      </c>
      <c r="D74" s="247" t="s">
        <v>581</v>
      </c>
      <c r="E74" s="271" t="s">
        <v>120</v>
      </c>
      <c r="F74" s="448" t="s">
        <v>620</v>
      </c>
      <c r="G74" s="449">
        <f>1650/'Average wages'!B18</f>
        <v>3.8050970363803151E-2</v>
      </c>
      <c r="H74" s="271">
        <v>0</v>
      </c>
      <c r="I74" s="442" t="s">
        <v>174</v>
      </c>
      <c r="J74" s="501" t="s">
        <v>110</v>
      </c>
      <c r="K74" s="251" t="s">
        <v>110</v>
      </c>
      <c r="L74" s="275" t="s">
        <v>110</v>
      </c>
    </row>
    <row r="75" spans="1:12" ht="24" x14ac:dyDescent="0.2">
      <c r="A75" s="266" t="s">
        <v>530</v>
      </c>
      <c r="B75" s="150"/>
      <c r="C75" s="151" t="s">
        <v>627</v>
      </c>
      <c r="D75" s="151" t="s">
        <v>1262</v>
      </c>
      <c r="E75" s="276" t="s">
        <v>120</v>
      </c>
      <c r="F75" s="93" t="s">
        <v>620</v>
      </c>
      <c r="G75" s="450">
        <f>(36800-32800)*0.21/'Average wages'!B18</f>
        <v>1.9371403094299786E-2</v>
      </c>
      <c r="H75" s="276">
        <v>0</v>
      </c>
      <c r="I75" s="443" t="s">
        <v>174</v>
      </c>
      <c r="J75" s="499" t="s">
        <v>110</v>
      </c>
      <c r="K75" s="249" t="s">
        <v>110</v>
      </c>
      <c r="L75" s="279" t="s">
        <v>110</v>
      </c>
    </row>
    <row r="76" spans="1:12" ht="24" x14ac:dyDescent="0.2">
      <c r="A76" s="266" t="s">
        <v>531</v>
      </c>
      <c r="B76" s="144" t="s">
        <v>544</v>
      </c>
      <c r="C76" s="145" t="s">
        <v>1252</v>
      </c>
      <c r="D76" s="145" t="s">
        <v>561</v>
      </c>
      <c r="E76" s="267">
        <v>17</v>
      </c>
      <c r="F76" s="149" t="s">
        <v>153</v>
      </c>
      <c r="G76" s="287">
        <f>140*12/'Average wages'!B19</f>
        <v>1.2467717517143111E-2</v>
      </c>
      <c r="H76" s="267">
        <v>0</v>
      </c>
      <c r="I76" s="248" t="s">
        <v>1313</v>
      </c>
      <c r="J76" s="500" t="s">
        <v>110</v>
      </c>
      <c r="K76" s="256" t="s">
        <v>110</v>
      </c>
      <c r="L76" s="256" t="s">
        <v>110</v>
      </c>
    </row>
    <row r="77" spans="1:12" ht="60" x14ac:dyDescent="0.2">
      <c r="A77" s="266" t="s">
        <v>535</v>
      </c>
      <c r="B77" s="238"/>
      <c r="C77" s="247" t="s">
        <v>1253</v>
      </c>
      <c r="D77" s="247" t="s">
        <v>554</v>
      </c>
      <c r="E77" s="271">
        <v>17</v>
      </c>
      <c r="F77" s="448" t="s">
        <v>628</v>
      </c>
      <c r="G77" s="281">
        <f>0.7*140*12/'Average wages'!B19</f>
        <v>8.7274022620001789E-3</v>
      </c>
      <c r="H77" s="271">
        <v>0</v>
      </c>
      <c r="I77" s="442" t="s">
        <v>1312</v>
      </c>
      <c r="J77" s="501" t="s">
        <v>110</v>
      </c>
      <c r="K77" s="251" t="s">
        <v>110</v>
      </c>
      <c r="L77" s="251" t="s">
        <v>110</v>
      </c>
    </row>
    <row r="78" spans="1:12" ht="36" x14ac:dyDescent="0.2">
      <c r="A78" s="117" t="s">
        <v>532</v>
      </c>
      <c r="B78" s="238"/>
      <c r="C78" s="247" t="s">
        <v>638</v>
      </c>
      <c r="D78" s="247" t="s">
        <v>1263</v>
      </c>
      <c r="E78" s="271">
        <v>17</v>
      </c>
      <c r="F78" s="448" t="s">
        <v>630</v>
      </c>
      <c r="G78" s="449">
        <f>2616*2/'Average wages'!B19</f>
        <v>3.8828034553388548E-2</v>
      </c>
      <c r="H78" s="271" t="s">
        <v>1058</v>
      </c>
      <c r="I78" s="442">
        <v>0</v>
      </c>
      <c r="J78" s="501" t="s">
        <v>110</v>
      </c>
      <c r="K78" s="251" t="s">
        <v>110</v>
      </c>
      <c r="L78" s="251" t="s">
        <v>110</v>
      </c>
    </row>
    <row r="79" spans="1:12" ht="36" x14ac:dyDescent="0.2">
      <c r="A79" s="117" t="s">
        <v>533</v>
      </c>
      <c r="B79" s="238"/>
      <c r="C79" s="247" t="s">
        <v>631</v>
      </c>
      <c r="D79" s="247" t="s">
        <v>570</v>
      </c>
      <c r="E79" s="271">
        <v>17</v>
      </c>
      <c r="F79" s="448" t="s">
        <v>1282</v>
      </c>
      <c r="G79" s="449">
        <f>2*330*12*1/'Average wages'!B19</f>
        <v>5.8776382580817528E-2</v>
      </c>
      <c r="H79" s="271">
        <v>0</v>
      </c>
      <c r="I79" s="273" t="s">
        <v>1058</v>
      </c>
      <c r="J79" s="501" t="s">
        <v>110</v>
      </c>
      <c r="K79" s="251" t="s">
        <v>632</v>
      </c>
      <c r="L79" s="251" t="s">
        <v>110</v>
      </c>
    </row>
    <row r="80" spans="1:12" ht="48" x14ac:dyDescent="0.2">
      <c r="A80" s="266" t="s">
        <v>530</v>
      </c>
      <c r="B80" s="150"/>
      <c r="C80" s="151" t="s">
        <v>1084</v>
      </c>
      <c r="D80" s="151" t="s">
        <v>554</v>
      </c>
      <c r="E80" s="276">
        <v>14</v>
      </c>
      <c r="F80" s="93" t="s">
        <v>1085</v>
      </c>
      <c r="G80" s="450">
        <f>(0.18*8648)/'Average wages'!B19</f>
        <v>1.1552230830884316E-2</v>
      </c>
      <c r="H80" s="276" t="s">
        <v>1058</v>
      </c>
      <c r="I80" s="283">
        <v>0</v>
      </c>
      <c r="J80" s="499" t="s">
        <v>110</v>
      </c>
      <c r="K80" s="249" t="s">
        <v>110</v>
      </c>
      <c r="L80" s="249" t="s">
        <v>110</v>
      </c>
    </row>
    <row r="81" spans="1:12" ht="84" x14ac:dyDescent="0.2">
      <c r="A81" s="266" t="s">
        <v>531</v>
      </c>
      <c r="B81" s="144" t="s">
        <v>76</v>
      </c>
      <c r="C81" s="145" t="s">
        <v>633</v>
      </c>
      <c r="D81" s="145" t="s">
        <v>554</v>
      </c>
      <c r="E81" s="267" t="s">
        <v>634</v>
      </c>
      <c r="F81" s="149" t="s">
        <v>635</v>
      </c>
      <c r="G81" s="268">
        <v>5.492859282932188E-2</v>
      </c>
      <c r="H81" s="267">
        <v>0</v>
      </c>
      <c r="I81" s="250" t="s">
        <v>589</v>
      </c>
      <c r="J81" s="500" t="s">
        <v>598</v>
      </c>
      <c r="K81" s="256" t="s">
        <v>636</v>
      </c>
      <c r="L81" s="256" t="s">
        <v>153</v>
      </c>
    </row>
    <row r="82" spans="1:12" ht="48" x14ac:dyDescent="0.2">
      <c r="A82" s="266" t="s">
        <v>535</v>
      </c>
      <c r="B82" s="238"/>
      <c r="C82" s="247" t="s">
        <v>637</v>
      </c>
      <c r="D82" s="247" t="s">
        <v>554</v>
      </c>
      <c r="E82" s="271" t="s">
        <v>634</v>
      </c>
      <c r="F82" s="448" t="s">
        <v>1269</v>
      </c>
      <c r="G82" s="449">
        <v>5.6672325976230904E-2</v>
      </c>
      <c r="H82" s="271">
        <v>0</v>
      </c>
      <c r="I82" s="273" t="s">
        <v>1408</v>
      </c>
      <c r="J82" s="501" t="str">
        <f>"Varies by family size: ISEE indicator (equivalised income measure) must be less than EUR 8,500 ("&amp;TEXT(8500/'Average wages'!B20,"0%")&amp;" of AW)"</f>
        <v>Varies by family size: ISEE indicator (equivalised income measure) must be less than EUR 8,500 (28% of AW)</v>
      </c>
      <c r="K82" s="251" t="s">
        <v>1324</v>
      </c>
      <c r="L82" s="251" t="s">
        <v>341</v>
      </c>
    </row>
    <row r="83" spans="1:12" ht="36" x14ac:dyDescent="0.2">
      <c r="A83" s="117" t="s">
        <v>529</v>
      </c>
      <c r="B83" s="238"/>
      <c r="C83" s="247" t="s">
        <v>638</v>
      </c>
      <c r="D83" s="247" t="s">
        <v>626</v>
      </c>
      <c r="E83" s="271" t="s">
        <v>634</v>
      </c>
      <c r="F83" s="448" t="s">
        <v>153</v>
      </c>
      <c r="G83" s="449">
        <v>3.1625553447185324E-2</v>
      </c>
      <c r="H83" s="271" t="s">
        <v>589</v>
      </c>
      <c r="I83" s="273">
        <v>0</v>
      </c>
      <c r="J83" s="501" t="s">
        <v>153</v>
      </c>
      <c r="K83" s="251" t="s">
        <v>598</v>
      </c>
      <c r="L83" s="251" t="s">
        <v>153</v>
      </c>
    </row>
    <row r="84" spans="1:12" ht="36" x14ac:dyDescent="0.2">
      <c r="A84" s="117" t="s">
        <v>530</v>
      </c>
      <c r="B84" s="150"/>
      <c r="C84" s="151" t="s">
        <v>639</v>
      </c>
      <c r="D84" s="151" t="s">
        <v>626</v>
      </c>
      <c r="E84" s="276" t="s">
        <v>634</v>
      </c>
      <c r="F84" s="93" t="s">
        <v>1287</v>
      </c>
      <c r="G84" s="450">
        <v>3.7999999999999999E-2</v>
      </c>
      <c r="H84" s="276">
        <v>0</v>
      </c>
      <c r="I84" s="283" t="s">
        <v>1408</v>
      </c>
      <c r="J84" s="499" t="s">
        <v>153</v>
      </c>
      <c r="K84" s="249" t="s">
        <v>598</v>
      </c>
      <c r="L84" s="249" t="s">
        <v>153</v>
      </c>
    </row>
    <row r="85" spans="1:12" ht="48" x14ac:dyDescent="0.2">
      <c r="A85" s="117" t="s">
        <v>532</v>
      </c>
      <c r="B85" s="144" t="s">
        <v>77</v>
      </c>
      <c r="C85" s="145" t="s">
        <v>993</v>
      </c>
      <c r="D85" s="145" t="s">
        <v>554</v>
      </c>
      <c r="E85" s="267">
        <v>15</v>
      </c>
      <c r="F85" s="149" t="s">
        <v>153</v>
      </c>
      <c r="G85" s="268">
        <f>10000*12/'Average wages'!B21</f>
        <v>2.4132948412806148E-2</v>
      </c>
      <c r="H85" s="267" t="s">
        <v>589</v>
      </c>
      <c r="I85" s="250" t="s">
        <v>995</v>
      </c>
      <c r="J85" s="269" t="str">
        <f>"JPY 9.6 million ("&amp;TEXT(9600000*100/'Average wages'!B21,0)&amp;"% of AW)"</f>
        <v>JPY 9.6 million (193% of AW)</v>
      </c>
      <c r="K85" s="270" t="s">
        <v>992</v>
      </c>
      <c r="L85" s="256" t="s">
        <v>120</v>
      </c>
    </row>
    <row r="86" spans="1:12" ht="72" x14ac:dyDescent="0.2">
      <c r="A86" s="266" t="s">
        <v>530</v>
      </c>
      <c r="B86" s="150"/>
      <c r="C86" s="151" t="s">
        <v>642</v>
      </c>
      <c r="D86" s="151" t="s">
        <v>554</v>
      </c>
      <c r="E86" s="276">
        <v>18</v>
      </c>
      <c r="F86" s="93" t="s">
        <v>153</v>
      </c>
      <c r="G86" s="450">
        <f>41020*12/'Average wages'!B21</f>
        <v>9.8993354389330823E-2</v>
      </c>
      <c r="H86" s="276">
        <v>0</v>
      </c>
      <c r="I86" s="283" t="s">
        <v>589</v>
      </c>
      <c r="J86" s="278" t="str">
        <f>"Varies by family size: JPY 570000 ("&amp;TEXT(570000*100/'Average wages'!B21,0)&amp;"% of AW) for one dependent, increases with number of children"</f>
        <v>Varies by family size: JPY 570000 (11% of AW) for one dependent, increases with number of children</v>
      </c>
      <c r="K86" s="279" t="s">
        <v>994</v>
      </c>
      <c r="L86" s="249" t="s">
        <v>120</v>
      </c>
    </row>
    <row r="87" spans="1:12" ht="60" x14ac:dyDescent="0.2">
      <c r="A87" s="117" t="s">
        <v>533</v>
      </c>
      <c r="B87" s="238" t="s">
        <v>78</v>
      </c>
      <c r="C87" s="247" t="s">
        <v>1254</v>
      </c>
      <c r="D87" s="247" t="s">
        <v>661</v>
      </c>
      <c r="E87" s="271">
        <v>20</v>
      </c>
      <c r="F87" s="448" t="s">
        <v>677</v>
      </c>
      <c r="G87" s="449">
        <v>1.7999999999999999E-2</v>
      </c>
      <c r="H87" s="271">
        <v>0</v>
      </c>
      <c r="I87" s="442">
        <v>0</v>
      </c>
      <c r="J87" s="501" t="s">
        <v>998</v>
      </c>
      <c r="K87" s="251" t="str">
        <f>"1% 
Fully withdrawn if gross earnings above KRW 40 million ("&amp;TEXT(40000000/'Average wages'!B22,"0%")&amp;" of AW)"</f>
        <v>1% 
Fully withdrawn if gross earnings above KRW 40 million (97% of AW)</v>
      </c>
      <c r="L87" s="251" t="s">
        <v>120</v>
      </c>
    </row>
    <row r="88" spans="1:12" ht="60" x14ac:dyDescent="0.2">
      <c r="A88" s="117" t="s">
        <v>530</v>
      </c>
      <c r="B88" s="150"/>
      <c r="C88" s="151" t="s">
        <v>644</v>
      </c>
      <c r="D88" s="151" t="s">
        <v>554</v>
      </c>
      <c r="E88" s="276" t="s">
        <v>645</v>
      </c>
      <c r="F88" s="93" t="s">
        <v>153</v>
      </c>
      <c r="G88" s="450">
        <v>3.5999999999999997E-2</v>
      </c>
      <c r="H88" s="276">
        <v>0</v>
      </c>
      <c r="I88" s="283">
        <v>0</v>
      </c>
      <c r="J88" s="499" t="str">
        <f>"Varies by family size, for lone parent with one child KRW 16 million ("&amp;TEXT(16000000/'Average wages'!B22,"0%")&amp;" of AW)"</f>
        <v>Varies by family size, for lone parent with one child KRW 16 million (39% of AW)</v>
      </c>
      <c r="K88" s="249" t="s">
        <v>1334</v>
      </c>
      <c r="L88" s="249" t="s">
        <v>120</v>
      </c>
    </row>
    <row r="89" spans="1:12" x14ac:dyDescent="0.2">
      <c r="A89" s="117" t="s">
        <v>531</v>
      </c>
      <c r="B89" s="144" t="s">
        <v>79</v>
      </c>
      <c r="C89" s="145" t="s">
        <v>646</v>
      </c>
      <c r="D89" s="145" t="s">
        <v>561</v>
      </c>
      <c r="E89" s="267" t="s">
        <v>647</v>
      </c>
      <c r="F89" s="149" t="s">
        <v>153</v>
      </c>
      <c r="G89" s="268">
        <v>5.2527743494090645E-2</v>
      </c>
      <c r="H89" s="267" t="s">
        <v>555</v>
      </c>
      <c r="I89" s="250" t="s">
        <v>589</v>
      </c>
      <c r="J89" s="500" t="s">
        <v>110</v>
      </c>
      <c r="K89" s="256" t="s">
        <v>110</v>
      </c>
      <c r="L89" s="256" t="s">
        <v>120</v>
      </c>
    </row>
    <row r="90" spans="1:12" ht="24" x14ac:dyDescent="0.2">
      <c r="A90" s="117" t="s">
        <v>532</v>
      </c>
      <c r="B90" s="238"/>
      <c r="C90" s="247" t="s">
        <v>648</v>
      </c>
      <c r="D90" s="247" t="s">
        <v>561</v>
      </c>
      <c r="E90" s="271" t="s">
        <v>647</v>
      </c>
      <c r="F90" s="448" t="s">
        <v>153</v>
      </c>
      <c r="G90" s="449">
        <v>3.0227234931835653E-3</v>
      </c>
      <c r="H90" s="271" t="s">
        <v>555</v>
      </c>
      <c r="I90" s="273" t="s">
        <v>589</v>
      </c>
      <c r="J90" s="501" t="s">
        <v>110</v>
      </c>
      <c r="K90" s="251" t="s">
        <v>110</v>
      </c>
      <c r="L90" s="251" t="s">
        <v>120</v>
      </c>
    </row>
    <row r="91" spans="1:12" x14ac:dyDescent="0.2">
      <c r="A91" s="117" t="s">
        <v>533</v>
      </c>
      <c r="B91" s="238"/>
      <c r="C91" s="247" t="s">
        <v>649</v>
      </c>
      <c r="D91" s="247" t="s">
        <v>561</v>
      </c>
      <c r="E91" s="271" t="s">
        <v>647</v>
      </c>
      <c r="F91" s="448" t="s">
        <v>153</v>
      </c>
      <c r="G91" s="449">
        <v>1.7248987356166451E-2</v>
      </c>
      <c r="H91" s="271">
        <v>0</v>
      </c>
      <c r="I91" s="273">
        <v>0</v>
      </c>
      <c r="J91" s="501" t="s">
        <v>110</v>
      </c>
      <c r="K91" s="251" t="s">
        <v>110</v>
      </c>
      <c r="L91" s="251" t="s">
        <v>120</v>
      </c>
    </row>
    <row r="92" spans="1:12" ht="24" x14ac:dyDescent="0.2">
      <c r="A92" s="117" t="s">
        <v>529</v>
      </c>
      <c r="B92" s="238"/>
      <c r="C92" s="247" t="s">
        <v>650</v>
      </c>
      <c r="D92" s="247" t="s">
        <v>581</v>
      </c>
      <c r="E92" s="271" t="s">
        <v>647</v>
      </c>
      <c r="F92" s="448" t="s">
        <v>620</v>
      </c>
      <c r="G92" s="449">
        <v>1.4022654913636879E-2</v>
      </c>
      <c r="H92" s="271" t="s">
        <v>555</v>
      </c>
      <c r="I92" s="273" t="s">
        <v>589</v>
      </c>
      <c r="J92" s="501" t="s">
        <v>110</v>
      </c>
      <c r="K92" s="251" t="s">
        <v>110</v>
      </c>
      <c r="L92" s="251" t="s">
        <v>120</v>
      </c>
    </row>
    <row r="93" spans="1:12" ht="24" x14ac:dyDescent="0.2">
      <c r="A93" s="117" t="s">
        <v>530</v>
      </c>
      <c r="B93" s="55"/>
      <c r="C93" s="247" t="s">
        <v>627</v>
      </c>
      <c r="D93" s="247" t="s">
        <v>651</v>
      </c>
      <c r="E93" s="271" t="s">
        <v>647</v>
      </c>
      <c r="F93" s="448" t="s">
        <v>153</v>
      </c>
      <c r="G93" s="449">
        <v>0.13208299914517621</v>
      </c>
      <c r="H93" s="271">
        <v>0</v>
      </c>
      <c r="I93" s="442" t="s">
        <v>174</v>
      </c>
      <c r="J93" s="501" t="s">
        <v>110</v>
      </c>
      <c r="K93" s="251" t="s">
        <v>110</v>
      </c>
      <c r="L93" s="251" t="s">
        <v>120</v>
      </c>
    </row>
    <row r="94" spans="1:12" ht="24" x14ac:dyDescent="0.2">
      <c r="A94" s="117" t="s">
        <v>532</v>
      </c>
      <c r="B94" s="144" t="s">
        <v>545</v>
      </c>
      <c r="C94" s="169" t="s">
        <v>1255</v>
      </c>
      <c r="D94" s="145" t="s">
        <v>561</v>
      </c>
      <c r="E94" s="267">
        <v>17</v>
      </c>
      <c r="F94" s="149" t="s">
        <v>153</v>
      </c>
      <c r="G94" s="268">
        <f>273.78*4/'Average wages'!B25</f>
        <v>2.2645161290322579E-2</v>
      </c>
      <c r="H94" s="267" t="s">
        <v>555</v>
      </c>
      <c r="I94" s="250">
        <v>0</v>
      </c>
      <c r="J94" s="500" t="s">
        <v>110</v>
      </c>
      <c r="K94" s="256" t="s">
        <v>110</v>
      </c>
      <c r="L94" s="256" t="s">
        <v>110</v>
      </c>
    </row>
    <row r="95" spans="1:12" ht="24" x14ac:dyDescent="0.2">
      <c r="A95" s="117" t="s">
        <v>533</v>
      </c>
      <c r="B95" s="238"/>
      <c r="C95" s="247" t="s">
        <v>1256</v>
      </c>
      <c r="D95" s="247" t="s">
        <v>554</v>
      </c>
      <c r="E95" s="271">
        <v>17</v>
      </c>
      <c r="F95" s="448" t="s">
        <v>1035</v>
      </c>
      <c r="G95" s="449">
        <f>85.75*12/'Average wages'!B25</f>
        <v>2.1277915632754343E-2</v>
      </c>
      <c r="H95" s="271">
        <v>0</v>
      </c>
      <c r="I95" s="442" t="s">
        <v>589</v>
      </c>
      <c r="J95" s="274" t="str">
        <f>"EUR 26,147 ("&amp;TEXT(100*26147/'Average wages'!B25,0)&amp;"% of AW)"</f>
        <v>EUR 26,147 (54% of AW)</v>
      </c>
      <c r="K95" s="290">
        <v>6.7500000000000004E-2</v>
      </c>
      <c r="L95" s="251" t="s">
        <v>341</v>
      </c>
    </row>
    <row r="96" spans="1:12" ht="36" x14ac:dyDescent="0.2">
      <c r="A96" s="117" t="s">
        <v>529</v>
      </c>
      <c r="B96" s="238"/>
      <c r="C96" s="247" t="s">
        <v>1040</v>
      </c>
      <c r="D96" s="288" t="s">
        <v>581</v>
      </c>
      <c r="E96" s="291">
        <v>11</v>
      </c>
      <c r="F96" s="84" t="str">
        <f>"Employed with taxable income above EUR 4814  ("&amp;TEXT(100*4814/'Average wages'!B25,0)&amp;"% of AW)"</f>
        <v>Employed with taxable income above EUR 4814  (10% of AW)</v>
      </c>
      <c r="G96" s="292">
        <f>2133/'Average wages'!B25</f>
        <v>4.4106699751861045E-2</v>
      </c>
      <c r="H96" s="291">
        <v>0</v>
      </c>
      <c r="I96" s="286" t="s">
        <v>174</v>
      </c>
      <c r="J96" s="274" t="s">
        <v>110</v>
      </c>
      <c r="K96" s="275" t="s">
        <v>110</v>
      </c>
      <c r="L96" s="251" t="s">
        <v>110</v>
      </c>
    </row>
    <row r="97" spans="1:12" ht="36" x14ac:dyDescent="0.2">
      <c r="A97" s="117" t="s">
        <v>530</v>
      </c>
      <c r="B97" s="134"/>
      <c r="C97" s="151" t="s">
        <v>1037</v>
      </c>
      <c r="D97" s="282" t="s">
        <v>581</v>
      </c>
      <c r="E97" s="293">
        <v>11</v>
      </c>
      <c r="F97" s="165" t="s">
        <v>1038</v>
      </c>
      <c r="G97" s="294">
        <f>(947+1319)/'Average wages'!B25</f>
        <v>4.6856906534325886E-2</v>
      </c>
      <c r="H97" s="293">
        <v>0</v>
      </c>
      <c r="I97" s="295" t="s">
        <v>174</v>
      </c>
      <c r="J97" s="278" t="s">
        <v>110</v>
      </c>
      <c r="K97" s="279" t="s">
        <v>110</v>
      </c>
      <c r="L97" s="249" t="s">
        <v>110</v>
      </c>
    </row>
    <row r="98" spans="1:12" ht="36" x14ac:dyDescent="0.2">
      <c r="A98" s="117" t="s">
        <v>531</v>
      </c>
      <c r="B98" s="157" t="s">
        <v>546</v>
      </c>
      <c r="C98" s="244" t="s">
        <v>652</v>
      </c>
      <c r="D98" s="145" t="s">
        <v>570</v>
      </c>
      <c r="E98" s="267">
        <v>18</v>
      </c>
      <c r="F98" s="149" t="s">
        <v>153</v>
      </c>
      <c r="G98" s="268">
        <v>8.1000000000000003E-2</v>
      </c>
      <c r="H98" s="267" t="s">
        <v>555</v>
      </c>
      <c r="I98" s="248" t="s">
        <v>695</v>
      </c>
      <c r="J98" s="500" t="str">
        <f>"NZD 36,350 ("&amp;TEXT(36350/'Average wages'!B26,"0%")&amp;" of AW)"</f>
        <v>NZD 36,350 (66% of AW)</v>
      </c>
      <c r="K98" s="257">
        <v>0.21249999999999999</v>
      </c>
      <c r="L98" s="256" t="s">
        <v>120</v>
      </c>
    </row>
    <row r="99" spans="1:12" ht="36" x14ac:dyDescent="0.2">
      <c r="A99" s="117" t="s">
        <v>532</v>
      </c>
      <c r="B99" s="296"/>
      <c r="C99" s="245" t="s">
        <v>653</v>
      </c>
      <c r="D99" s="247" t="s">
        <v>1264</v>
      </c>
      <c r="E99" s="271">
        <v>18</v>
      </c>
      <c r="F99" s="448" t="s">
        <v>654</v>
      </c>
      <c r="G99" s="449">
        <v>0.41599999999999998</v>
      </c>
      <c r="H99" s="271">
        <v>0</v>
      </c>
      <c r="I99" s="442" t="s">
        <v>174</v>
      </c>
      <c r="J99" s="501" t="s">
        <v>153</v>
      </c>
      <c r="K99" s="251">
        <v>1</v>
      </c>
      <c r="L99" s="251" t="s">
        <v>120</v>
      </c>
    </row>
    <row r="100" spans="1:12" ht="48" x14ac:dyDescent="0.2">
      <c r="A100" s="117" t="s">
        <v>529</v>
      </c>
      <c r="B100" s="296"/>
      <c r="C100" s="245" t="s">
        <v>655</v>
      </c>
      <c r="D100" s="247" t="s">
        <v>1265</v>
      </c>
      <c r="E100" s="271">
        <v>18</v>
      </c>
      <c r="F100" s="448" t="s">
        <v>654</v>
      </c>
      <c r="G100" s="449">
        <v>5.7000000000000002E-2</v>
      </c>
      <c r="H100" s="271">
        <v>0</v>
      </c>
      <c r="I100" s="442" t="s">
        <v>174</v>
      </c>
      <c r="J100" s="501" t="s">
        <v>656</v>
      </c>
      <c r="K100" s="290">
        <v>0.21249999999999999</v>
      </c>
      <c r="L100" s="251" t="s">
        <v>120</v>
      </c>
    </row>
    <row r="101" spans="1:12" ht="48" x14ac:dyDescent="0.2">
      <c r="A101" s="117" t="s">
        <v>532</v>
      </c>
      <c r="B101" s="296"/>
      <c r="C101" s="245" t="s">
        <v>1257</v>
      </c>
      <c r="D101" s="247" t="s">
        <v>554</v>
      </c>
      <c r="E101" s="271">
        <v>18</v>
      </c>
      <c r="F101" s="448" t="s">
        <v>1288</v>
      </c>
      <c r="G101" s="449">
        <v>9.2999999999999999E-2</v>
      </c>
      <c r="H101" s="271">
        <v>0</v>
      </c>
      <c r="I101" s="442" t="s">
        <v>174</v>
      </c>
      <c r="J101" s="501" t="str">
        <f>"NZD 100/week ("&amp;TEXT(100*52/'Average wages'!B26,"0%")&amp;" of AW)"</f>
        <v>NZD 100/week (10% of AW)</v>
      </c>
      <c r="K101" s="251" t="str">
        <f>"30% up to NZD 200 per week ("&amp;TEXT(200*52/'Average wages'!B26,"0%")&amp;" of AW)
70% thereafter"</f>
        <v>30% up to NZD 200 per week (19% of AW)
70% thereafter</v>
      </c>
      <c r="L101" s="251" t="s">
        <v>120</v>
      </c>
    </row>
    <row r="102" spans="1:12" x14ac:dyDescent="0.2">
      <c r="A102" s="117" t="s">
        <v>533</v>
      </c>
      <c r="B102" s="144" t="s">
        <v>81</v>
      </c>
      <c r="C102" s="145" t="s">
        <v>1047</v>
      </c>
      <c r="D102" s="145" t="s">
        <v>561</v>
      </c>
      <c r="E102" s="267">
        <v>17</v>
      </c>
      <c r="F102" s="149" t="s">
        <v>153</v>
      </c>
      <c r="G102" s="268">
        <f>11640/'Average wages'!B27</f>
        <v>2.1640474380020858E-2</v>
      </c>
      <c r="H102" s="267">
        <v>0</v>
      </c>
      <c r="I102" s="250">
        <v>0</v>
      </c>
      <c r="J102" s="500" t="s">
        <v>110</v>
      </c>
      <c r="K102" s="256" t="s">
        <v>110</v>
      </c>
      <c r="L102" s="256" t="s">
        <v>120</v>
      </c>
    </row>
    <row r="103" spans="1:12" ht="24" x14ac:dyDescent="0.2">
      <c r="A103" s="117" t="s">
        <v>539</v>
      </c>
      <c r="B103" s="238"/>
      <c r="C103" s="247" t="s">
        <v>1048</v>
      </c>
      <c r="D103" s="247" t="s">
        <v>561</v>
      </c>
      <c r="E103" s="271">
        <v>17</v>
      </c>
      <c r="F103" s="448" t="s">
        <v>620</v>
      </c>
      <c r="G103" s="449">
        <f>11640/'Average wages'!B27</f>
        <v>2.1640474380020858E-2</v>
      </c>
      <c r="H103" s="271">
        <v>0</v>
      </c>
      <c r="I103" s="273">
        <v>0</v>
      </c>
      <c r="J103" s="501" t="s">
        <v>110</v>
      </c>
      <c r="K103" s="251" t="s">
        <v>110</v>
      </c>
      <c r="L103" s="251" t="s">
        <v>120</v>
      </c>
    </row>
    <row r="104" spans="1:12" ht="48" x14ac:dyDescent="0.2">
      <c r="A104" s="117" t="s">
        <v>540</v>
      </c>
      <c r="B104" s="238"/>
      <c r="C104" s="247" t="s">
        <v>1049</v>
      </c>
      <c r="D104" s="247" t="s">
        <v>554</v>
      </c>
      <c r="E104" s="271">
        <v>2</v>
      </c>
      <c r="F104" s="448" t="s">
        <v>1050</v>
      </c>
      <c r="G104" s="449">
        <f>7920/'Average wages'!B27</f>
        <v>1.4724446485375018E-2</v>
      </c>
      <c r="H104" s="271">
        <v>0</v>
      </c>
      <c r="I104" s="442" t="s">
        <v>174</v>
      </c>
      <c r="J104" s="501" t="str">
        <f>"NOK 44,185 ("&amp;TEXT(100*44185/'Average wages'!B27,0)&amp;"% of AW), the threshold for Transitional benefit for lone parents"</f>
        <v>NOK 44,185 (8% of AW), the threshold for Transitional benefit for lone parents</v>
      </c>
      <c r="K104" s="251" t="s">
        <v>1324</v>
      </c>
      <c r="L104" s="251" t="s">
        <v>120</v>
      </c>
    </row>
    <row r="105" spans="1:12" ht="24" x14ac:dyDescent="0.2">
      <c r="A105" s="189" t="s">
        <v>547</v>
      </c>
      <c r="B105" s="238"/>
      <c r="C105" s="247" t="s">
        <v>1051</v>
      </c>
      <c r="D105" s="247" t="s">
        <v>554</v>
      </c>
      <c r="E105" s="271">
        <v>7</v>
      </c>
      <c r="F105" s="448" t="s">
        <v>1290</v>
      </c>
      <c r="G105" s="239">
        <f>198883/'Average wages'!B27</f>
        <v>0.36975278918571208</v>
      </c>
      <c r="H105" s="271">
        <v>0</v>
      </c>
      <c r="I105" s="442" t="s">
        <v>174</v>
      </c>
      <c r="J105" s="501" t="str">
        <f>"NOK 44,185 ("&amp;TEXT(100*44185/'Average wages'!B27,0)&amp;"% of AW)"</f>
        <v>NOK 44,185 (8% of AW)</v>
      </c>
      <c r="K105" s="251">
        <v>0.45</v>
      </c>
      <c r="L105" s="251" t="s">
        <v>120</v>
      </c>
    </row>
    <row r="106" spans="1:12" ht="48" x14ac:dyDescent="0.2">
      <c r="A106" s="266" t="s">
        <v>529</v>
      </c>
      <c r="B106" s="238"/>
      <c r="C106" s="247" t="s">
        <v>1052</v>
      </c>
      <c r="D106" s="247" t="s">
        <v>554</v>
      </c>
      <c r="E106" s="271">
        <v>17</v>
      </c>
      <c r="F106" s="448" t="s">
        <v>1289</v>
      </c>
      <c r="G106" s="449">
        <f>1480*12/'Average wages'!B27</f>
        <v>3.3018455755083373E-2</v>
      </c>
      <c r="H106" s="271">
        <v>0</v>
      </c>
      <c r="I106" s="273" t="s">
        <v>1053</v>
      </c>
      <c r="J106" s="501" t="str">
        <f>"NOK 238,901 ("&amp;TEXT(100*238901/'Average wages'!B27,0)&amp;"% of AW)"</f>
        <v>NOK 238,901 (44% of AW)</v>
      </c>
      <c r="K106" s="251" t="str">
        <f>"Withdrawn in three steps, fully withdrawn at NOK 470,400 ("&amp;TEXT(100*470400/'Average wages'!B27,0)&amp;"% of AW)"</f>
        <v>Withdrawn in three steps, fully withdrawn at NOK 470,400 (87% of AW)</v>
      </c>
      <c r="L106" s="251" t="s">
        <v>120</v>
      </c>
    </row>
    <row r="107" spans="1:12" ht="36" x14ac:dyDescent="0.2">
      <c r="A107" s="266" t="s">
        <v>529</v>
      </c>
      <c r="B107" s="238"/>
      <c r="C107" s="247" t="s">
        <v>1054</v>
      </c>
      <c r="D107" s="247" t="s">
        <v>554</v>
      </c>
      <c r="E107" s="271" t="s">
        <v>1055</v>
      </c>
      <c r="F107" s="448" t="s">
        <v>1056</v>
      </c>
      <c r="G107" s="449">
        <f>5000*12/'Average wages'!B27</f>
        <v>0.1115488370104168</v>
      </c>
      <c r="H107" s="271" t="s">
        <v>1058</v>
      </c>
      <c r="I107" s="273">
        <v>0</v>
      </c>
      <c r="J107" s="501" t="s">
        <v>110</v>
      </c>
      <c r="K107" s="251" t="s">
        <v>110</v>
      </c>
      <c r="L107" s="251" t="s">
        <v>120</v>
      </c>
    </row>
    <row r="108" spans="1:12" ht="24" x14ac:dyDescent="0.2">
      <c r="A108" s="266" t="s">
        <v>530</v>
      </c>
      <c r="B108" s="238"/>
      <c r="C108" s="247" t="s">
        <v>1057</v>
      </c>
      <c r="D108" s="247" t="s">
        <v>643</v>
      </c>
      <c r="E108" s="271" t="s">
        <v>120</v>
      </c>
      <c r="F108" s="448" t="s">
        <v>620</v>
      </c>
      <c r="G108" s="239">
        <f>48804/'Average wages'!B27</f>
        <v>9.0733824024273033E-2</v>
      </c>
      <c r="H108" s="271">
        <v>0</v>
      </c>
      <c r="I108" s="442" t="s">
        <v>174</v>
      </c>
      <c r="J108" s="501" t="s">
        <v>110</v>
      </c>
      <c r="K108" s="251" t="s">
        <v>110</v>
      </c>
      <c r="L108" s="251" t="s">
        <v>120</v>
      </c>
    </row>
    <row r="109" spans="1:12" ht="60" x14ac:dyDescent="0.2">
      <c r="A109" s="266" t="s">
        <v>531</v>
      </c>
      <c r="B109" s="297" t="s">
        <v>334</v>
      </c>
      <c r="C109" s="169" t="s">
        <v>714</v>
      </c>
      <c r="D109" s="169" t="s">
        <v>554</v>
      </c>
      <c r="E109" s="298" t="s">
        <v>634</v>
      </c>
      <c r="F109" s="164" t="s">
        <v>153</v>
      </c>
      <c r="G109" s="299">
        <v>2.9000000000000001E-2</v>
      </c>
      <c r="H109" s="298" t="s">
        <v>555</v>
      </c>
      <c r="I109" s="300" t="s">
        <v>1305</v>
      </c>
      <c r="J109" s="269" t="str">
        <f>"PLN 6,468 of net income ("&amp;TEXT(6468/'Average wages'!B28,"0%")&amp;" of AW) per family member"</f>
        <v>PLN 6,468 of net income (15% of AW) per family member</v>
      </c>
      <c r="K109" s="270" t="s">
        <v>1330</v>
      </c>
      <c r="L109" s="270" t="s">
        <v>120</v>
      </c>
    </row>
    <row r="110" spans="1:12" ht="48" x14ac:dyDescent="0.2">
      <c r="A110" s="117" t="s">
        <v>533</v>
      </c>
      <c r="B110" s="301"/>
      <c r="C110" s="288" t="s">
        <v>638</v>
      </c>
      <c r="D110" s="288" t="s">
        <v>626</v>
      </c>
      <c r="E110" s="291" t="s">
        <v>120</v>
      </c>
      <c r="F110" s="84" t="s">
        <v>153</v>
      </c>
      <c r="G110" s="292">
        <v>2.5000000000000001E-2</v>
      </c>
      <c r="H110" s="291">
        <v>0</v>
      </c>
      <c r="I110" s="302" t="s">
        <v>1306</v>
      </c>
      <c r="J110" s="274" t="str">
        <f>"PLN 112,000 ("&amp;TEXT(112000/'Average wages'!B28,"0%")&amp;" of AW)"</f>
        <v>PLN 112,000 (252% of AW)</v>
      </c>
      <c r="K110" s="275" t="s">
        <v>1324</v>
      </c>
      <c r="L110" s="275" t="s">
        <v>120</v>
      </c>
    </row>
    <row r="111" spans="1:12" ht="60" x14ac:dyDescent="0.2">
      <c r="A111" s="117" t="s">
        <v>529</v>
      </c>
      <c r="B111" s="301"/>
      <c r="C111" s="288" t="s">
        <v>715</v>
      </c>
      <c r="D111" s="288" t="s">
        <v>554</v>
      </c>
      <c r="E111" s="291" t="s">
        <v>634</v>
      </c>
      <c r="F111" s="84" t="s">
        <v>620</v>
      </c>
      <c r="G111" s="292">
        <v>4.5999999999999999E-2</v>
      </c>
      <c r="H111" s="291">
        <v>0</v>
      </c>
      <c r="I111" s="302" t="s">
        <v>1307</v>
      </c>
      <c r="J111" s="274" t="str">
        <f>J109</f>
        <v>PLN 6,468 of net income (15% of AW) per family member</v>
      </c>
      <c r="K111" s="275" t="s">
        <v>1330</v>
      </c>
      <c r="L111" s="275" t="s">
        <v>120</v>
      </c>
    </row>
    <row r="112" spans="1:12" ht="24" x14ac:dyDescent="0.2">
      <c r="A112" s="117" t="s">
        <v>530</v>
      </c>
      <c r="B112" s="303"/>
      <c r="C112" s="282" t="s">
        <v>657</v>
      </c>
      <c r="D112" s="282" t="s">
        <v>581</v>
      </c>
      <c r="E112" s="293" t="s">
        <v>120</v>
      </c>
      <c r="F112" s="165" t="s">
        <v>153</v>
      </c>
      <c r="G112" s="294">
        <v>1.2E-2</v>
      </c>
      <c r="H112" s="293">
        <v>0</v>
      </c>
      <c r="I112" s="295" t="s">
        <v>174</v>
      </c>
      <c r="J112" s="278" t="s">
        <v>110</v>
      </c>
      <c r="K112" s="279" t="s">
        <v>110</v>
      </c>
      <c r="L112" s="279" t="s">
        <v>120</v>
      </c>
    </row>
    <row r="113" spans="1:12" ht="72" x14ac:dyDescent="0.2">
      <c r="A113" s="117" t="s">
        <v>531</v>
      </c>
      <c r="B113" s="144" t="s">
        <v>83</v>
      </c>
      <c r="C113" s="145" t="s">
        <v>658</v>
      </c>
      <c r="D113" s="145" t="s">
        <v>554</v>
      </c>
      <c r="E113" s="267" t="s">
        <v>672</v>
      </c>
      <c r="F113" s="149" t="s">
        <v>153</v>
      </c>
      <c r="G113" s="268">
        <f>35.19*12/'Average wages'!B29</f>
        <v>2.4349402508977932E-2</v>
      </c>
      <c r="H113" s="267" t="s">
        <v>589</v>
      </c>
      <c r="I113" s="250">
        <v>0</v>
      </c>
      <c r="J113" s="500" t="str">
        <f>"EUR 2934.54 ("&amp;TEXT(100*2934.54/'Average wages'!B29,0)&amp;"% of AW) of reference income (that is, family income divided by the number of children plus one)"</f>
        <v>EUR 2934.54 (17% of AW) of reference income (that is, family income divided by the number of children plus one)</v>
      </c>
      <c r="K113" s="256" t="str">
        <f>"Withdrawn in steps (according to income brackets) down to zero at income above EUR 8803.06 ("&amp;TEXT(100*8803.06/'Average wages'!B29,0)&amp;"% of AW)"</f>
        <v>Withdrawn in steps (according to income brackets) down to zero at income above EUR 8803.06 (51% of AW)</v>
      </c>
      <c r="L113" s="256" t="s">
        <v>341</v>
      </c>
    </row>
    <row r="114" spans="1:12" ht="72" x14ac:dyDescent="0.2">
      <c r="A114" s="117" t="s">
        <v>532</v>
      </c>
      <c r="B114" s="238"/>
      <c r="C114" s="247" t="s">
        <v>889</v>
      </c>
      <c r="D114" s="247" t="s">
        <v>554</v>
      </c>
      <c r="E114" s="271" t="s">
        <v>888</v>
      </c>
      <c r="F114" s="448" t="s">
        <v>1277</v>
      </c>
      <c r="G114" s="449">
        <f>(70.38-35.19)*12/'Average wages'!B29</f>
        <v>2.4349402508977932E-2</v>
      </c>
      <c r="H114" s="271">
        <v>0</v>
      </c>
      <c r="I114" s="273" t="s">
        <v>555</v>
      </c>
      <c r="J114" s="501" t="str">
        <f>J113</f>
        <v>EUR 2934.54 (17% of AW) of reference income (that is, family income divided by the number of children plus one)</v>
      </c>
      <c r="K114" s="251" t="str">
        <f>K113</f>
        <v>Withdrawn in steps (according to income brackets) down to zero at income above EUR 8803.06 (51% of AW)</v>
      </c>
      <c r="L114" s="251" t="s">
        <v>341</v>
      </c>
    </row>
    <row r="115" spans="1:12" ht="48" x14ac:dyDescent="0.2">
      <c r="A115" s="117" t="s">
        <v>529</v>
      </c>
      <c r="B115" s="238"/>
      <c r="C115" s="247" t="s">
        <v>890</v>
      </c>
      <c r="D115" s="247" t="s">
        <v>554</v>
      </c>
      <c r="E115" s="271" t="s">
        <v>891</v>
      </c>
      <c r="F115" s="448" t="s">
        <v>153</v>
      </c>
      <c r="G115" s="449">
        <f>35.19/'Average wages'!B29</f>
        <v>2.0291168757481611E-3</v>
      </c>
      <c r="H115" s="271">
        <v>0</v>
      </c>
      <c r="I115" s="273">
        <v>0</v>
      </c>
      <c r="J115" s="501" t="str">
        <f>J114</f>
        <v>EUR 2934.54 (17% of AW) of reference income (that is, family income divided by the number of children plus one)</v>
      </c>
      <c r="K115" s="251" t="s">
        <v>1324</v>
      </c>
      <c r="L115" s="251" t="s">
        <v>341</v>
      </c>
    </row>
    <row r="116" spans="1:12" ht="72" x14ac:dyDescent="0.2">
      <c r="A116" s="117" t="s">
        <v>530</v>
      </c>
      <c r="B116" s="150"/>
      <c r="C116" s="151" t="s">
        <v>659</v>
      </c>
      <c r="D116" s="151" t="s">
        <v>554</v>
      </c>
      <c r="E116" s="276" t="s">
        <v>672</v>
      </c>
      <c r="F116" s="93" t="s">
        <v>153</v>
      </c>
      <c r="G116" s="450">
        <f>G113*0.2</f>
        <v>4.8698805017955869E-3</v>
      </c>
      <c r="H116" s="276" t="s">
        <v>589</v>
      </c>
      <c r="I116" s="283">
        <v>0</v>
      </c>
      <c r="J116" s="499" t="str">
        <f>J113</f>
        <v>EUR 2934.54 (17% of AW) of reference income (that is, family income divided by the number of children plus one)</v>
      </c>
      <c r="K116" s="249" t="str">
        <f>K113</f>
        <v>Withdrawn in steps (according to income brackets) down to zero at income above EUR 8803.06 (51% of AW)</v>
      </c>
      <c r="L116" s="249" t="s">
        <v>341</v>
      </c>
    </row>
    <row r="117" spans="1:12" x14ac:dyDescent="0.2">
      <c r="A117" s="117" t="s">
        <v>532</v>
      </c>
      <c r="B117" s="144" t="s">
        <v>84</v>
      </c>
      <c r="C117" s="145" t="s">
        <v>660</v>
      </c>
      <c r="D117" s="145" t="s">
        <v>561</v>
      </c>
      <c r="E117" s="267" t="s">
        <v>120</v>
      </c>
      <c r="F117" s="149" t="s">
        <v>153</v>
      </c>
      <c r="G117" s="268">
        <f>23.52*12/'Average wages'!B30</f>
        <v>2.7080239024558736E-2</v>
      </c>
      <c r="H117" s="267">
        <v>0</v>
      </c>
      <c r="I117" s="250">
        <v>0</v>
      </c>
      <c r="J117" s="500" t="s">
        <v>110</v>
      </c>
      <c r="K117" s="256" t="s">
        <v>110</v>
      </c>
      <c r="L117" s="256" t="s">
        <v>120</v>
      </c>
    </row>
    <row r="118" spans="1:12" ht="36" x14ac:dyDescent="0.2">
      <c r="A118" s="117" t="s">
        <v>529</v>
      </c>
      <c r="B118" s="238"/>
      <c r="C118" s="247" t="s">
        <v>638</v>
      </c>
      <c r="D118" s="247" t="s">
        <v>661</v>
      </c>
      <c r="E118" s="271">
        <v>0</v>
      </c>
      <c r="F118" s="448" t="str">
        <f>"Earnings of at least 6 times the MW ("&amp;TEXT(100*352*6/'Average wages'!B30,0)&amp;"% of AW)"</f>
        <v>Earnings of at least 6 times the MW (20% of AW)</v>
      </c>
      <c r="G118" s="449">
        <f>256.92/'Average wages'!B30</f>
        <v>2.4650846833154872E-2</v>
      </c>
      <c r="H118" s="271">
        <v>0</v>
      </c>
      <c r="I118" s="273">
        <v>0</v>
      </c>
      <c r="J118" s="501" t="s">
        <v>110</v>
      </c>
      <c r="K118" s="251" t="s">
        <v>110</v>
      </c>
      <c r="L118" s="251" t="s">
        <v>120</v>
      </c>
    </row>
    <row r="119" spans="1:12" ht="48" x14ac:dyDescent="0.2">
      <c r="A119" s="117" t="s">
        <v>530</v>
      </c>
      <c r="B119" s="150"/>
      <c r="C119" s="151" t="s">
        <v>662</v>
      </c>
      <c r="D119" s="151" t="s">
        <v>554</v>
      </c>
      <c r="E119" s="276" t="s">
        <v>120</v>
      </c>
      <c r="F119" s="93" t="s">
        <v>1283</v>
      </c>
      <c r="G119" s="450">
        <f>1.2*90.42*12/'Average wages'!B30</f>
        <v>0.12492832717350004</v>
      </c>
      <c r="H119" s="276">
        <v>0</v>
      </c>
      <c r="I119" s="283">
        <v>0</v>
      </c>
      <c r="J119" s="499" t="s">
        <v>663</v>
      </c>
      <c r="K119" s="249" t="s">
        <v>1324</v>
      </c>
      <c r="L119" s="249" t="s">
        <v>120</v>
      </c>
    </row>
    <row r="120" spans="1:12" ht="84" x14ac:dyDescent="0.2">
      <c r="A120" s="117" t="s">
        <v>531</v>
      </c>
      <c r="B120" s="144" t="s">
        <v>85</v>
      </c>
      <c r="C120" s="145" t="s">
        <v>664</v>
      </c>
      <c r="D120" s="145" t="s">
        <v>554</v>
      </c>
      <c r="E120" s="267" t="s">
        <v>665</v>
      </c>
      <c r="F120" s="149" t="s">
        <v>153</v>
      </c>
      <c r="G120" s="268">
        <f>114.31*12/'Average wages'!B31</f>
        <v>7.6427457098283927E-2</v>
      </c>
      <c r="H120" s="267" t="s">
        <v>885</v>
      </c>
      <c r="I120" s="248" t="s">
        <v>1308</v>
      </c>
      <c r="J120" s="500" t="str">
        <f>"EUR 178.46/month of income per family member ("&amp;TEXT(100*178.46*12/'Average wages'!B31,0)&amp;"% of AW)"</f>
        <v>EUR 178.46/month of income per family member (12% of AW)</v>
      </c>
      <c r="K120" s="256" t="str">
        <f>"Benefit withdrawn in six steps, fully withdrawn when income per family member exceed EUR 634.52/month ("&amp;TEXT(100*634.52*12/'Average wages'!B31,0)&amp;"% of AW)"</f>
        <v>Benefit withdrawn in six steps, fully withdrawn when income per family member exceed EUR 634.52/month (42% of AW)</v>
      </c>
      <c r="L120" s="256" t="s">
        <v>120</v>
      </c>
    </row>
    <row r="121" spans="1:12" ht="48" x14ac:dyDescent="0.2">
      <c r="A121" s="117" t="s">
        <v>532</v>
      </c>
      <c r="B121" s="238"/>
      <c r="C121" s="247" t="s">
        <v>666</v>
      </c>
      <c r="D121" s="247" t="s">
        <v>554</v>
      </c>
      <c r="E121" s="271" t="s">
        <v>120</v>
      </c>
      <c r="F121" s="448" t="s">
        <v>1269</v>
      </c>
      <c r="G121" s="449">
        <f>395/3*12/'Average wages'!B31</f>
        <v>8.8032092712279922E-2</v>
      </c>
      <c r="H121" s="271">
        <v>0</v>
      </c>
      <c r="I121" s="442" t="s">
        <v>1309</v>
      </c>
      <c r="J121" s="501" t="str">
        <f>"EUR 634.52/month of income per family member ("&amp;TEXT(100*634.52*12/'Average wages'!B31,0)&amp;"% of AW)"</f>
        <v>EUR 634.52/month of income per family member (42% of AW)</v>
      </c>
      <c r="K121" s="251" t="s">
        <v>1324</v>
      </c>
      <c r="L121" s="251" t="s">
        <v>120</v>
      </c>
    </row>
    <row r="122" spans="1:12" ht="24" x14ac:dyDescent="0.2">
      <c r="A122" s="117" t="s">
        <v>533</v>
      </c>
      <c r="B122" s="238"/>
      <c r="C122" s="247" t="s">
        <v>667</v>
      </c>
      <c r="D122" s="247" t="s">
        <v>643</v>
      </c>
      <c r="E122" s="271" t="s">
        <v>120</v>
      </c>
      <c r="F122" s="448" t="s">
        <v>153</v>
      </c>
      <c r="G122" s="449">
        <f>2436.92/'Average wages'!B31</f>
        <v>0.13577668821038555</v>
      </c>
      <c r="H122" s="271">
        <v>0</v>
      </c>
      <c r="I122" s="442" t="s">
        <v>1310</v>
      </c>
      <c r="J122" s="501" t="s">
        <v>110</v>
      </c>
      <c r="K122" s="251" t="s">
        <v>110</v>
      </c>
      <c r="L122" s="251" t="s">
        <v>110</v>
      </c>
    </row>
    <row r="123" spans="1:12" ht="36" x14ac:dyDescent="0.2">
      <c r="A123" s="117" t="s">
        <v>529</v>
      </c>
      <c r="B123" s="238"/>
      <c r="C123" s="247" t="s">
        <v>668</v>
      </c>
      <c r="D123" s="247" t="s">
        <v>554</v>
      </c>
      <c r="E123" s="271" t="s">
        <v>120</v>
      </c>
      <c r="F123" s="448" t="s">
        <v>620</v>
      </c>
      <c r="G123" s="449">
        <f>26.52*12/'Average wages'!B31</f>
        <v>1.7731223534655671E-2</v>
      </c>
      <c r="H123" s="271">
        <v>0</v>
      </c>
      <c r="I123" s="273">
        <v>0</v>
      </c>
      <c r="J123" s="501" t="s">
        <v>641</v>
      </c>
      <c r="K123" s="251" t="s">
        <v>641</v>
      </c>
      <c r="L123" s="251" t="s">
        <v>341</v>
      </c>
    </row>
    <row r="124" spans="1:12" ht="84" x14ac:dyDescent="0.2">
      <c r="A124" s="117" t="s">
        <v>530</v>
      </c>
      <c r="B124" s="150"/>
      <c r="C124" s="151" t="s">
        <v>669</v>
      </c>
      <c r="D124" s="151" t="s">
        <v>554</v>
      </c>
      <c r="E124" s="276" t="s">
        <v>665</v>
      </c>
      <c r="F124" s="93" t="s">
        <v>620</v>
      </c>
      <c r="G124" s="450">
        <f>G120*0.3</f>
        <v>2.2928237129485177E-2</v>
      </c>
      <c r="H124" s="276">
        <v>0</v>
      </c>
      <c r="I124" s="443" t="s">
        <v>1308</v>
      </c>
      <c r="J124" s="499" t="str">
        <f>"EUR 178.46/month of income per family member ("&amp;TEXT(100*178.46*12/'Average wages'!B31,0)&amp;"% of AW)"</f>
        <v>EUR 178.46/month of income per family member (12% of AW)</v>
      </c>
      <c r="K124" s="249" t="str">
        <f>K120</f>
        <v>Benefit withdrawn in six steps, fully withdrawn when income per family member exceed EUR 634.52/month (42% of AW)</v>
      </c>
      <c r="L124" s="249" t="s">
        <v>120</v>
      </c>
    </row>
    <row r="125" spans="1:12" ht="48" x14ac:dyDescent="0.2">
      <c r="A125" s="117" t="s">
        <v>529</v>
      </c>
      <c r="B125" s="144" t="s">
        <v>86</v>
      </c>
      <c r="C125" s="145" t="s">
        <v>670</v>
      </c>
      <c r="D125" s="145" t="s">
        <v>554</v>
      </c>
      <c r="E125" s="267">
        <v>17</v>
      </c>
      <c r="F125" s="149" t="s">
        <v>153</v>
      </c>
      <c r="G125" s="268">
        <v>1.1180834570295204E-2</v>
      </c>
      <c r="H125" s="267">
        <v>0</v>
      </c>
      <c r="I125" s="250">
        <v>0</v>
      </c>
      <c r="J125" s="500" t="str">
        <f>"Income threshold increases with number of children; for one child family EUR 11 548 ("&amp;TEXT(11548/'Average wages'!B32,"0%")&amp;" of AW)"</f>
        <v>Income threshold increases with number of children; for one child family EUR 11 548 (44% of AW)</v>
      </c>
      <c r="K125" s="256">
        <v>1</v>
      </c>
      <c r="L125" s="256" t="s">
        <v>120</v>
      </c>
    </row>
    <row r="126" spans="1:12" x14ac:dyDescent="0.2">
      <c r="A126" s="117" t="s">
        <v>529</v>
      </c>
      <c r="B126" s="297" t="s">
        <v>87</v>
      </c>
      <c r="C126" s="169" t="s">
        <v>716</v>
      </c>
      <c r="D126" s="169" t="s">
        <v>561</v>
      </c>
      <c r="E126" s="298" t="s">
        <v>671</v>
      </c>
      <c r="F126" s="164" t="s">
        <v>153</v>
      </c>
      <c r="G126" s="299">
        <f>12600/'Average wages'!B33</f>
        <v>3.0868129391358884E-2</v>
      </c>
      <c r="H126" s="298">
        <v>0</v>
      </c>
      <c r="I126" s="280" t="s">
        <v>555</v>
      </c>
      <c r="J126" s="269" t="s">
        <v>110</v>
      </c>
      <c r="K126" s="270" t="s">
        <v>110</v>
      </c>
      <c r="L126" s="270" t="s">
        <v>110</v>
      </c>
    </row>
    <row r="127" spans="1:12" ht="24" x14ac:dyDescent="0.2">
      <c r="A127" s="117" t="s">
        <v>530</v>
      </c>
      <c r="B127" s="303"/>
      <c r="C127" s="282" t="s">
        <v>717</v>
      </c>
      <c r="D127" s="282" t="s">
        <v>561</v>
      </c>
      <c r="E127" s="293" t="s">
        <v>671</v>
      </c>
      <c r="F127" s="165" t="s">
        <v>593</v>
      </c>
      <c r="G127" s="294">
        <f>15276/'Average wages'!B33</f>
        <v>3.7423932109714154E-2</v>
      </c>
      <c r="H127" s="293">
        <v>0</v>
      </c>
      <c r="I127" s="304">
        <v>0</v>
      </c>
      <c r="J127" s="278" t="s">
        <v>110</v>
      </c>
      <c r="K127" s="279" t="s">
        <v>110</v>
      </c>
      <c r="L127" s="279" t="s">
        <v>110</v>
      </c>
    </row>
    <row r="128" spans="1:12" ht="24" x14ac:dyDescent="0.2">
      <c r="A128" s="117" t="s">
        <v>532</v>
      </c>
      <c r="B128" s="144" t="s">
        <v>548</v>
      </c>
      <c r="C128" s="145" t="s">
        <v>1080</v>
      </c>
      <c r="D128" s="145" t="s">
        <v>561</v>
      </c>
      <c r="E128" s="267" t="s">
        <v>1081</v>
      </c>
      <c r="F128" s="149" t="s">
        <v>673</v>
      </c>
      <c r="G128" s="268">
        <f>2400/'Average wages'!B34</f>
        <v>2.7643400138217002E-2</v>
      </c>
      <c r="H128" s="267" t="s">
        <v>555</v>
      </c>
      <c r="I128" s="250">
        <v>0</v>
      </c>
      <c r="J128" s="500" t="s">
        <v>110</v>
      </c>
      <c r="K128" s="256" t="s">
        <v>110</v>
      </c>
      <c r="L128" s="256" t="s">
        <v>110</v>
      </c>
    </row>
    <row r="129" spans="1:12" x14ac:dyDescent="0.2">
      <c r="A129" s="266" t="s">
        <v>529</v>
      </c>
      <c r="B129" s="150"/>
      <c r="C129" s="151" t="s">
        <v>629</v>
      </c>
      <c r="D129" s="151" t="s">
        <v>643</v>
      </c>
      <c r="E129" s="276" t="s">
        <v>1273</v>
      </c>
      <c r="F129" s="93" t="s">
        <v>153</v>
      </c>
      <c r="G129" s="450">
        <f>6500/'Average wages'!B34</f>
        <v>7.4867542041004376E-2</v>
      </c>
      <c r="H129" s="276">
        <v>0</v>
      </c>
      <c r="I129" s="283">
        <v>0</v>
      </c>
      <c r="J129" s="499" t="s">
        <v>110</v>
      </c>
      <c r="K129" s="249" t="s">
        <v>110</v>
      </c>
      <c r="L129" s="249" t="s">
        <v>110</v>
      </c>
    </row>
    <row r="130" spans="1:12" ht="108" x14ac:dyDescent="0.2">
      <c r="A130" s="266" t="s">
        <v>529</v>
      </c>
      <c r="B130" s="305" t="s">
        <v>338</v>
      </c>
      <c r="C130" s="485" t="s">
        <v>622</v>
      </c>
      <c r="D130" s="169" t="s">
        <v>1266</v>
      </c>
      <c r="E130" s="298" t="s">
        <v>671</v>
      </c>
      <c r="F130" s="164" t="s">
        <v>153</v>
      </c>
      <c r="G130" s="299">
        <f>20.5*52/'Average wages'!B36</f>
        <v>3.0353075170842826E-2</v>
      </c>
      <c r="H130" s="298">
        <v>0</v>
      </c>
      <c r="I130" s="280" t="s">
        <v>589</v>
      </c>
      <c r="J130" s="269" t="str">
        <f>"GBP 50,000 ("&amp;TEXT(100*50000/'Average wages'!B36,0)&amp;"% of AW) of income of higher-earning parent"</f>
        <v>GBP 50,000 (142% of AW) of income of higher-earning parent</v>
      </c>
      <c r="K130" s="270" t="str">
        <f>"1% of benefit amount lost for each GBP 100 of income between GBP 50000 ("&amp;TEXT(50000*100/'Average wages'!B36,0)&amp;"% of AW) to GBP 60000 ("&amp;TEXT(60000*100/'Average wages'!B36,0)&amp;"% of AW), at which point benefit is fully withdrawn"</f>
        <v>1% of benefit amount lost for each GBP 100 of income between GBP 50000 (142% of AW) to GBP 60000 (171% of AW), at which point benefit is fully withdrawn</v>
      </c>
      <c r="L130" s="270" t="s">
        <v>153</v>
      </c>
    </row>
    <row r="131" spans="1:12" x14ac:dyDescent="0.2">
      <c r="A131" s="266" t="s">
        <v>530</v>
      </c>
      <c r="B131" s="303"/>
      <c r="C131" s="486" t="s">
        <v>696</v>
      </c>
      <c r="D131" s="282" t="s">
        <v>554</v>
      </c>
      <c r="E131" s="293" t="s">
        <v>671</v>
      </c>
      <c r="F131" s="165" t="s">
        <v>153</v>
      </c>
      <c r="G131" s="294">
        <f>(545+2750)/'Average wages'!B36</f>
        <v>9.3821184510250566E-2</v>
      </c>
      <c r="H131" s="293">
        <v>0</v>
      </c>
      <c r="I131" s="295" t="s">
        <v>589</v>
      </c>
      <c r="J131" s="278" t="str">
        <f>" GBP 15,910 ("&amp;TEXT(15910*100/'Average wages'!B36,0)&amp;"% of AW)"</f>
        <v xml:space="preserve"> GBP 15,910 (45% of AW)</v>
      </c>
      <c r="K131" s="279">
        <v>0.41</v>
      </c>
      <c r="L131" s="279" t="s">
        <v>153</v>
      </c>
    </row>
    <row r="132" spans="1:12" ht="37.5" x14ac:dyDescent="0.2">
      <c r="A132" s="266" t="s">
        <v>535</v>
      </c>
      <c r="B132" s="157" t="s">
        <v>549</v>
      </c>
      <c r="C132" s="145" t="s">
        <v>674</v>
      </c>
      <c r="D132" s="145" t="s">
        <v>554</v>
      </c>
      <c r="E132" s="267" t="s">
        <v>675</v>
      </c>
      <c r="F132" s="149" t="s">
        <v>153</v>
      </c>
      <c r="G132" s="268">
        <f>403*12/'Average wages'!B37</f>
        <v>9.6528969170012552E-2</v>
      </c>
      <c r="H132" s="267">
        <v>0</v>
      </c>
      <c r="I132" s="248" t="s">
        <v>589</v>
      </c>
      <c r="J132" s="500" t="str">
        <f>"USD 200/month ("&amp;TEXT(100*200*12/'Average wages'!B37,0)&amp;"% of AW)"</f>
        <v>USD 200/month (5% of AW)</v>
      </c>
      <c r="K132" s="256">
        <v>0.5</v>
      </c>
      <c r="L132" s="256" t="s">
        <v>120</v>
      </c>
    </row>
    <row r="133" spans="1:12" ht="60" x14ac:dyDescent="0.2">
      <c r="A133" s="117" t="s">
        <v>532</v>
      </c>
      <c r="B133" s="238"/>
      <c r="C133" s="247" t="s">
        <v>676</v>
      </c>
      <c r="D133" s="247" t="s">
        <v>570</v>
      </c>
      <c r="E133" s="271" t="s">
        <v>614</v>
      </c>
      <c r="F133" s="448" t="s">
        <v>677</v>
      </c>
      <c r="G133" s="449">
        <f>(9720-6480)/'Average wages'!B37</f>
        <v>6.467201408412751E-2</v>
      </c>
      <c r="H133" s="271">
        <v>0</v>
      </c>
      <c r="I133" s="273" t="s">
        <v>589</v>
      </c>
      <c r="J133" s="501" t="str">
        <f>"USD 17,830 ("&amp;TEXT(100*17830/'Average wages'!B37,0)&amp;"% of AW) for single people
USD 23,260 ("&amp;TEXT(100*23260/'Average wages'!B37,0)&amp;"% of AW) for couples"</f>
        <v>USD 17,830 (36% of AW) for single people
USD 23,260 (46% of AW) for couples</v>
      </c>
      <c r="K133" s="251" t="s">
        <v>1028</v>
      </c>
      <c r="L133" s="251" t="s">
        <v>120</v>
      </c>
    </row>
    <row r="134" spans="1:12" ht="23.25" customHeight="1" x14ac:dyDescent="0.2">
      <c r="A134" s="117" t="s">
        <v>532</v>
      </c>
      <c r="B134" s="238"/>
      <c r="C134" s="247" t="s">
        <v>1029</v>
      </c>
      <c r="D134" s="247" t="s">
        <v>678</v>
      </c>
      <c r="E134" s="271" t="s">
        <v>120</v>
      </c>
      <c r="F134" s="448" t="s">
        <v>620</v>
      </c>
      <c r="G134" s="449">
        <f>(9100-6200)/'Average wages'!B37</f>
        <v>5.788544470492895E-2</v>
      </c>
      <c r="H134" s="271">
        <v>0</v>
      </c>
      <c r="I134" s="273">
        <v>0</v>
      </c>
      <c r="J134" s="501" t="s">
        <v>110</v>
      </c>
      <c r="K134" s="251" t="s">
        <v>110</v>
      </c>
      <c r="L134" s="251" t="s">
        <v>120</v>
      </c>
    </row>
    <row r="135" spans="1:12" ht="60" x14ac:dyDescent="0.2">
      <c r="A135" s="260"/>
      <c r="B135" s="238"/>
      <c r="C135" s="247" t="s">
        <v>679</v>
      </c>
      <c r="D135" s="247" t="s">
        <v>680</v>
      </c>
      <c r="E135" s="271">
        <v>16</v>
      </c>
      <c r="F135" s="448" t="s">
        <v>153</v>
      </c>
      <c r="G135" s="449">
        <f>1000/'Average wages'!B37</f>
        <v>1.9960498174113432E-2</v>
      </c>
      <c r="H135" s="271">
        <v>0</v>
      </c>
      <c r="I135" s="273" t="s">
        <v>697</v>
      </c>
      <c r="J135" s="501" t="str">
        <f>"USD 110,000 ("&amp;TEXT(100*110000/'Average wages'!B37,0)&amp;"% of AW) for married taxpayers
USD 75,000 ("&amp;TEXT(100*75000/'Average wages'!B37,0)&amp;"% of AW) for single and lone-parent taxpayers"</f>
        <v>USD 110,000 (220% of AW) for married taxpayers
USD 75,000 (150% of AW) for single and lone-parent taxpayers</v>
      </c>
      <c r="K135" s="251">
        <v>0.05</v>
      </c>
      <c r="L135" s="251" t="s">
        <v>120</v>
      </c>
    </row>
    <row r="136" spans="1:12" ht="24" x14ac:dyDescent="0.2">
      <c r="A136" s="117" t="s">
        <v>529</v>
      </c>
      <c r="B136" s="238"/>
      <c r="C136" s="247" t="s">
        <v>1030</v>
      </c>
      <c r="D136" s="247" t="s">
        <v>651</v>
      </c>
      <c r="E136" s="271" t="s">
        <v>120</v>
      </c>
      <c r="F136" s="448" t="s">
        <v>620</v>
      </c>
      <c r="G136" s="281" t="s">
        <v>110</v>
      </c>
      <c r="H136" s="271">
        <v>0</v>
      </c>
      <c r="I136" s="442" t="s">
        <v>174</v>
      </c>
      <c r="J136" s="501" t="s">
        <v>110</v>
      </c>
      <c r="K136" s="251" t="s">
        <v>110</v>
      </c>
      <c r="L136" s="251" t="s">
        <v>120</v>
      </c>
    </row>
    <row r="137" spans="1:12" x14ac:dyDescent="0.2">
      <c r="A137" s="117" t="s">
        <v>530</v>
      </c>
      <c r="B137" s="306"/>
      <c r="C137" s="59"/>
      <c r="D137" s="247"/>
      <c r="E137" s="271"/>
      <c r="F137" s="448"/>
      <c r="G137" s="281"/>
      <c r="H137" s="271"/>
      <c r="I137" s="273"/>
      <c r="J137" s="501"/>
      <c r="K137" s="251"/>
      <c r="L137" s="251"/>
    </row>
    <row r="138" spans="1:12" x14ac:dyDescent="0.2">
      <c r="A138" s="117" t="s">
        <v>532</v>
      </c>
      <c r="B138" s="240" t="s">
        <v>92</v>
      </c>
      <c r="C138" s="241"/>
      <c r="D138" s="242"/>
      <c r="E138" s="306"/>
      <c r="F138" s="307"/>
      <c r="G138" s="308"/>
      <c r="H138" s="306"/>
      <c r="I138" s="309"/>
      <c r="J138" s="238"/>
      <c r="K138" s="309"/>
      <c r="L138" s="309"/>
    </row>
    <row r="139" spans="1:12" ht="60" x14ac:dyDescent="0.2">
      <c r="A139" s="117" t="s">
        <v>529</v>
      </c>
      <c r="B139" s="487" t="s">
        <v>93</v>
      </c>
      <c r="C139" s="169" t="s">
        <v>1258</v>
      </c>
      <c r="D139" s="169" t="s">
        <v>554</v>
      </c>
      <c r="E139" s="298" t="s">
        <v>634</v>
      </c>
      <c r="F139" s="164" t="s">
        <v>153</v>
      </c>
      <c r="G139" s="299">
        <v>4.4322498142719269E-2</v>
      </c>
      <c r="H139" s="298">
        <v>0</v>
      </c>
      <c r="I139" s="300">
        <v>0</v>
      </c>
      <c r="J139" s="269" t="str">
        <f>"BGN 350/month ("&amp;TEXT(350*12/'Average wages'!B39,"0%")&amp;" of AW) per family member"</f>
        <v>BGN 350/month (42% of AW) per family member</v>
      </c>
      <c r="K139" s="270" t="s">
        <v>1331</v>
      </c>
      <c r="L139" s="270" t="s">
        <v>341</v>
      </c>
    </row>
    <row r="140" spans="1:12" ht="60" x14ac:dyDescent="0.2">
      <c r="A140" s="117" t="s">
        <v>532</v>
      </c>
      <c r="B140" s="310"/>
      <c r="C140" s="288" t="s">
        <v>1259</v>
      </c>
      <c r="D140" s="288" t="s">
        <v>554</v>
      </c>
      <c r="E140" s="291" t="s">
        <v>681</v>
      </c>
      <c r="F140" s="84" t="s">
        <v>153</v>
      </c>
      <c r="G140" s="292">
        <v>2.6382440701127052E-2</v>
      </c>
      <c r="H140" s="291">
        <v>0</v>
      </c>
      <c r="I140" s="311">
        <v>0</v>
      </c>
      <c r="J140" s="274" t="str">
        <f>J139</f>
        <v>BGN 350/month (42% of AW) per family member</v>
      </c>
      <c r="K140" s="311" t="str">
        <f>K139</f>
        <v>Benefit fully withdrawn if gross income per family member above threshold</v>
      </c>
      <c r="L140" s="311" t="s">
        <v>341</v>
      </c>
    </row>
    <row r="141" spans="1:12" ht="24" x14ac:dyDescent="0.2">
      <c r="A141" s="117" t="s">
        <v>529</v>
      </c>
      <c r="B141" s="312"/>
      <c r="C141" s="282" t="s">
        <v>682</v>
      </c>
      <c r="D141" s="282" t="s">
        <v>561</v>
      </c>
      <c r="E141" s="293">
        <v>17</v>
      </c>
      <c r="F141" s="165" t="s">
        <v>683</v>
      </c>
      <c r="G141" s="294">
        <v>7.5981423258781433E-2</v>
      </c>
      <c r="H141" s="293">
        <v>0</v>
      </c>
      <c r="I141" s="313">
        <v>0</v>
      </c>
      <c r="J141" s="314" t="s">
        <v>110</v>
      </c>
      <c r="K141" s="313" t="s">
        <v>110</v>
      </c>
      <c r="L141" s="313" t="s">
        <v>110</v>
      </c>
    </row>
    <row r="142" spans="1:12" ht="96" x14ac:dyDescent="0.2">
      <c r="A142" s="117" t="s">
        <v>532</v>
      </c>
      <c r="B142" s="30" t="s">
        <v>94</v>
      </c>
      <c r="C142" s="145" t="s">
        <v>684</v>
      </c>
      <c r="D142" s="145" t="s">
        <v>554</v>
      </c>
      <c r="E142" s="267" t="s">
        <v>685</v>
      </c>
      <c r="F142" s="149" t="s">
        <v>153</v>
      </c>
      <c r="G142" s="268">
        <v>4.2000000000000003E-2</v>
      </c>
      <c r="H142" s="267">
        <v>0</v>
      </c>
      <c r="I142" s="248" t="s">
        <v>698</v>
      </c>
      <c r="J142" s="500" t="str">
        <f>"HRK 543 per month ("&amp;TEXT(543*12/'Average wages'!B40,"0%")&amp;" of AW) per family member"</f>
        <v>HRK 543 per month (8% of AW) per family member</v>
      </c>
      <c r="K142" s="256" t="str">
        <f>"Benefit decreases in steps with income brackets, fully withdrawn when income exceeds HRK 1,663 per month ("&amp;TEXT(1663*12/'Average wages'!B40,"0%")&amp;" of AW) per family member"</f>
        <v>Benefit decreases in steps with income brackets, fully withdrawn when income exceeds HRK 1,663 per month (23% of AW) per family member</v>
      </c>
      <c r="L142" s="256" t="s">
        <v>341</v>
      </c>
    </row>
    <row r="143" spans="1:12" ht="96" x14ac:dyDescent="0.2">
      <c r="A143" s="117" t="s">
        <v>529</v>
      </c>
      <c r="B143" s="315"/>
      <c r="C143" s="151" t="s">
        <v>921</v>
      </c>
      <c r="D143" s="151" t="s">
        <v>554</v>
      </c>
      <c r="E143" s="276" t="s">
        <v>685</v>
      </c>
      <c r="F143" s="93" t="s">
        <v>620</v>
      </c>
      <c r="G143" s="450">
        <v>1.0999999999999999E-2</v>
      </c>
      <c r="H143" s="276">
        <v>0</v>
      </c>
      <c r="I143" s="273" t="s">
        <v>698</v>
      </c>
      <c r="J143" s="499" t="str">
        <f>J142</f>
        <v>HRK 543 per month (8% of AW) per family member</v>
      </c>
      <c r="K143" s="249" t="str">
        <f>K142</f>
        <v>Benefit decreases in steps with income brackets, fully withdrawn when income exceeds HRK 1,663 per month (23% of AW) per family member</v>
      </c>
      <c r="L143" s="249" t="s">
        <v>341</v>
      </c>
    </row>
    <row r="144" spans="1:12" ht="120" x14ac:dyDescent="0.2">
      <c r="A144" s="117" t="s">
        <v>530</v>
      </c>
      <c r="B144" s="30" t="s">
        <v>882</v>
      </c>
      <c r="C144" s="145" t="s">
        <v>956</v>
      </c>
      <c r="D144" s="145" t="s">
        <v>554</v>
      </c>
      <c r="E144" s="267" t="s">
        <v>957</v>
      </c>
      <c r="F144" s="149" t="s">
        <v>153</v>
      </c>
      <c r="G144" s="268">
        <v>2.1000000000000001E-2</v>
      </c>
      <c r="H144" s="267">
        <v>0</v>
      </c>
      <c r="I144" s="248" t="s">
        <v>1311</v>
      </c>
      <c r="J144" s="500" t="str">
        <f>"EUR 19,500 ("&amp;TEXT(19500/'Average wages'!B41,"0%")&amp;" of AW)"</f>
        <v>EUR 19,500 (86% of AW)</v>
      </c>
      <c r="K144" s="256" t="str">
        <f>"Benefit decreases in steps with income brackets, fully withdrawn at EUR 49,000 ("&amp;TEXT(49000/'Average wages'!B41,"0%")&amp;" of AW) for 1-child familiesand EUR 59,000 ("&amp;TEXT(59000/'Average wages'!B41,"0%")&amp;" for those with more children"</f>
        <v>Benefit decreases in steps with income brackets, fully withdrawn at EUR 49,000 (216% of AW) for 1-child familiesand EUR 59,000 (260% for those with more children</v>
      </c>
      <c r="L144" s="256" t="s">
        <v>341</v>
      </c>
    </row>
    <row r="145" spans="1:12" ht="48" x14ac:dyDescent="0.2">
      <c r="A145" s="117" t="s">
        <v>532</v>
      </c>
      <c r="B145" s="315"/>
      <c r="C145" s="151" t="s">
        <v>1060</v>
      </c>
      <c r="D145" s="151" t="s">
        <v>554</v>
      </c>
      <c r="E145" s="276" t="s">
        <v>957</v>
      </c>
      <c r="F145" s="93" t="s">
        <v>620</v>
      </c>
      <c r="G145" s="450">
        <v>9.5000000000000001E-2</v>
      </c>
      <c r="H145" s="276">
        <v>0</v>
      </c>
      <c r="I145" s="283">
        <v>0</v>
      </c>
      <c r="J145" s="499" t="str">
        <f>"EUR 39,000 ("&amp;TEXT(39000/'Average wages'!B41,"0%")&amp;" of AW)"</f>
        <v>EUR 39,000 (172% of AW)</v>
      </c>
      <c r="K145" s="249" t="str">
        <f>"Benefit decreases in steps, fully withdrawn at EUR 49,000 ("&amp;TEXT(49000/'Average wages'!B41,"0%")&amp;" of AW)"</f>
        <v>Benefit decreases in steps, fully withdrawn at EUR 49,000 (216% of AW)</v>
      </c>
      <c r="L145" s="249" t="s">
        <v>341</v>
      </c>
    </row>
    <row r="146" spans="1:12" x14ac:dyDescent="0.2">
      <c r="A146" s="117" t="s">
        <v>530</v>
      </c>
      <c r="B146" s="243" t="s">
        <v>95</v>
      </c>
      <c r="C146" s="145" t="s">
        <v>686</v>
      </c>
      <c r="D146" s="145" t="s">
        <v>561</v>
      </c>
      <c r="E146" s="267" t="s">
        <v>591</v>
      </c>
      <c r="F146" s="149" t="s">
        <v>153</v>
      </c>
      <c r="G146" s="268">
        <v>1.4687522598142426E-2</v>
      </c>
      <c r="H146" s="267">
        <v>0</v>
      </c>
      <c r="I146" s="248">
        <v>0</v>
      </c>
      <c r="J146" s="500" t="s">
        <v>110</v>
      </c>
      <c r="K146" s="256" t="s">
        <v>110</v>
      </c>
      <c r="L146" s="256" t="s">
        <v>110</v>
      </c>
    </row>
    <row r="147" spans="1:12" ht="24" x14ac:dyDescent="0.2">
      <c r="A147" s="117" t="s">
        <v>532</v>
      </c>
      <c r="B147" s="315"/>
      <c r="C147" s="151" t="s">
        <v>876</v>
      </c>
      <c r="D147" s="151" t="s">
        <v>561</v>
      </c>
      <c r="E147" s="276">
        <v>17</v>
      </c>
      <c r="F147" s="93" t="s">
        <v>153</v>
      </c>
      <c r="G147" s="450">
        <v>0.106</v>
      </c>
      <c r="H147" s="276" t="s">
        <v>555</v>
      </c>
      <c r="I147" s="283">
        <v>0</v>
      </c>
      <c r="J147" s="499" t="s">
        <v>110</v>
      </c>
      <c r="K147" s="249" t="s">
        <v>110</v>
      </c>
      <c r="L147" s="249" t="s">
        <v>110</v>
      </c>
    </row>
    <row r="148" spans="1:12" ht="72" x14ac:dyDescent="0.2">
      <c r="A148" s="117" t="s">
        <v>529</v>
      </c>
      <c r="B148" s="462" t="s">
        <v>96</v>
      </c>
      <c r="C148" s="169" t="s">
        <v>1260</v>
      </c>
      <c r="D148" s="169" t="s">
        <v>554</v>
      </c>
      <c r="E148" s="298" t="s">
        <v>1317</v>
      </c>
      <c r="F148" s="164" t="s">
        <v>153</v>
      </c>
      <c r="G148" s="299">
        <v>2.1999999999999999E-2</v>
      </c>
      <c r="H148" s="298" t="s">
        <v>589</v>
      </c>
      <c r="I148" s="300">
        <v>0</v>
      </c>
      <c r="J148" s="269" t="str">
        <f>"LTL 6,300 ("&amp;TEXT(6300/'Average wages'!B42,"0%")&amp;" of AW) of net income per family member"</f>
        <v>LTL 6,300 (22% of AW) of net income per family member</v>
      </c>
      <c r="K148" s="270" t="s">
        <v>1324</v>
      </c>
      <c r="L148" s="270" t="s">
        <v>153</v>
      </c>
    </row>
    <row r="149" spans="1:12" x14ac:dyDescent="0.2">
      <c r="A149" s="117" t="s">
        <v>530</v>
      </c>
      <c r="B149" s="316"/>
      <c r="C149" s="288" t="s">
        <v>629</v>
      </c>
      <c r="D149" s="288" t="s">
        <v>643</v>
      </c>
      <c r="E149" s="291">
        <v>17</v>
      </c>
      <c r="F149" s="84" t="s">
        <v>153</v>
      </c>
      <c r="G149" s="292">
        <v>1.2999999999999999E-2</v>
      </c>
      <c r="H149" s="291">
        <v>0</v>
      </c>
      <c r="I149" s="317">
        <v>0</v>
      </c>
      <c r="J149" s="318" t="s">
        <v>110</v>
      </c>
      <c r="K149" s="311" t="s">
        <v>110</v>
      </c>
      <c r="L149" s="311" t="s">
        <v>110</v>
      </c>
    </row>
    <row r="150" spans="1:12" ht="36" x14ac:dyDescent="0.2">
      <c r="A150" s="117" t="s">
        <v>532</v>
      </c>
      <c r="B150" s="319"/>
      <c r="C150" s="282" t="s">
        <v>965</v>
      </c>
      <c r="D150" s="282" t="s">
        <v>561</v>
      </c>
      <c r="E150" s="293">
        <v>17</v>
      </c>
      <c r="F150" s="165" t="s">
        <v>687</v>
      </c>
      <c r="G150" s="294">
        <v>8.4000000000000005E-2</v>
      </c>
      <c r="H150" s="293">
        <v>0</v>
      </c>
      <c r="I150" s="313">
        <v>0</v>
      </c>
      <c r="J150" s="314" t="s">
        <v>110</v>
      </c>
      <c r="K150" s="313" t="s">
        <v>688</v>
      </c>
      <c r="L150" s="313" t="s">
        <v>110</v>
      </c>
    </row>
    <row r="151" spans="1:12" x14ac:dyDescent="0.2">
      <c r="A151" s="117" t="s">
        <v>529</v>
      </c>
      <c r="B151" s="320" t="s">
        <v>277</v>
      </c>
      <c r="C151" s="169" t="s">
        <v>689</v>
      </c>
      <c r="D151" s="169" t="s">
        <v>561</v>
      </c>
      <c r="E151" s="298">
        <v>20</v>
      </c>
      <c r="F151" s="164" t="s">
        <v>153</v>
      </c>
      <c r="G151" s="299">
        <v>2.1379703534777653E-2</v>
      </c>
      <c r="H151" s="298">
        <v>0</v>
      </c>
      <c r="I151" s="300">
        <v>0</v>
      </c>
      <c r="J151" s="269" t="s">
        <v>110</v>
      </c>
      <c r="K151" s="270" t="s">
        <v>110</v>
      </c>
      <c r="L151" s="270" t="s">
        <v>120</v>
      </c>
    </row>
    <row r="152" spans="1:12" ht="60" x14ac:dyDescent="0.2">
      <c r="A152" s="117" t="s">
        <v>530</v>
      </c>
      <c r="B152" s="321"/>
      <c r="C152" s="288" t="s">
        <v>690</v>
      </c>
      <c r="D152" s="288" t="s">
        <v>554</v>
      </c>
      <c r="E152" s="291">
        <v>20</v>
      </c>
      <c r="F152" s="84" t="s">
        <v>153</v>
      </c>
      <c r="G152" s="292">
        <v>2.3222158874952492E-2</v>
      </c>
      <c r="H152" s="488" t="s">
        <v>589</v>
      </c>
      <c r="I152" s="311">
        <v>0</v>
      </c>
      <c r="J152" s="318" t="str">
        <f>"EUR 5,356 ("&amp;TEXT(5356/'Average wages'!B43,"0%")&amp;" of AW)"</f>
        <v>EUR 5,356 (26% of AW)</v>
      </c>
      <c r="K152" s="311" t="s">
        <v>691</v>
      </c>
      <c r="L152" s="311" t="s">
        <v>120</v>
      </c>
    </row>
    <row r="153" spans="1:12" ht="60" x14ac:dyDescent="0.2">
      <c r="A153" s="117" t="s">
        <v>532</v>
      </c>
      <c r="B153" s="322"/>
      <c r="C153" s="282" t="s">
        <v>692</v>
      </c>
      <c r="D153" s="282" t="s">
        <v>1267</v>
      </c>
      <c r="E153" s="293">
        <v>20</v>
      </c>
      <c r="F153" s="165" t="s">
        <v>1284</v>
      </c>
      <c r="G153" s="294">
        <v>0.24534967692892437</v>
      </c>
      <c r="H153" s="293">
        <v>0</v>
      </c>
      <c r="I153" s="313" t="s">
        <v>589</v>
      </c>
      <c r="J153" s="314" t="str">
        <f>"EUR 57.05 per week ("&amp;TEXT(57.05*52/'Average wages'!B43,"0%")&amp;" of AW)"</f>
        <v>EUR 57.05 per week (14% of AW)</v>
      </c>
      <c r="K153" s="313" t="str">
        <f>"100% up to EUR 4,105 ("&amp;TEXT(4105/'Average wages'!B43,"0%")&amp;" of AW)
Benefit fully withdrawn above this threshold"</f>
        <v>100% up to EUR 4,105 (20% of AW)
Benefit fully withdrawn above this threshold</v>
      </c>
      <c r="L153" s="313" t="s">
        <v>120</v>
      </c>
    </row>
    <row r="154" spans="1:12" ht="24" x14ac:dyDescent="0.2">
      <c r="A154" s="117"/>
      <c r="B154" s="320" t="s">
        <v>97</v>
      </c>
      <c r="C154" s="169" t="s">
        <v>718</v>
      </c>
      <c r="D154" s="169" t="s">
        <v>561</v>
      </c>
      <c r="E154" s="298" t="s">
        <v>1273</v>
      </c>
      <c r="F154" s="164" t="s">
        <v>153</v>
      </c>
      <c r="G154" s="299">
        <v>1.9516728624535316E-2</v>
      </c>
      <c r="H154" s="298" t="s">
        <v>589</v>
      </c>
      <c r="I154" s="300">
        <v>0</v>
      </c>
      <c r="J154" s="269" t="s">
        <v>110</v>
      </c>
      <c r="K154" s="270" t="s">
        <v>110</v>
      </c>
      <c r="L154" s="270" t="s">
        <v>120</v>
      </c>
    </row>
    <row r="155" spans="1:12" ht="84" x14ac:dyDescent="0.2">
      <c r="A155" s="117"/>
      <c r="B155" s="321"/>
      <c r="C155" s="288" t="s">
        <v>719</v>
      </c>
      <c r="D155" s="288" t="s">
        <v>554</v>
      </c>
      <c r="E155" s="291">
        <v>18</v>
      </c>
      <c r="F155" s="84" t="s">
        <v>153</v>
      </c>
      <c r="G155" s="292">
        <v>1.858736059479554E-2</v>
      </c>
      <c r="H155" s="291">
        <v>0</v>
      </c>
      <c r="I155" s="311" t="s">
        <v>700</v>
      </c>
      <c r="J155" s="318" t="str">
        <f>"RON 200/month ("&amp;TEXT(200*12/'Average wages'!B44,"0%")&amp;" of AW) of net income per person"</f>
        <v>RON 200/month (9% of AW) of net income per person</v>
      </c>
      <c r="K155" s="311" t="str">
        <f>"Benefit withdrawn in two steps, fully withdrawn when family net income per person exceeds RON 530 per month ("&amp;TEXT(530*12/'Average wages'!B44,"0%")&amp;" of AW)"</f>
        <v>Benefit withdrawn in two steps, fully withdrawn when family net income per person exceeds RON 530 per month (23% of AW)</v>
      </c>
      <c r="L155" s="311" t="s">
        <v>120</v>
      </c>
    </row>
    <row r="156" spans="1:12" ht="84" x14ac:dyDescent="0.2">
      <c r="A156" s="117"/>
      <c r="B156" s="322"/>
      <c r="C156" s="282" t="s">
        <v>720</v>
      </c>
      <c r="D156" s="282" t="s">
        <v>554</v>
      </c>
      <c r="E156" s="293">
        <v>18</v>
      </c>
      <c r="F156" s="165" t="s">
        <v>620</v>
      </c>
      <c r="G156" s="294">
        <v>3.0204460966542751E-2</v>
      </c>
      <c r="H156" s="293">
        <v>0</v>
      </c>
      <c r="I156" s="313" t="s">
        <v>700</v>
      </c>
      <c r="J156" s="314" t="str">
        <f>J155</f>
        <v>RON 200/month (9% of AW) of net income per person</v>
      </c>
      <c r="K156" s="313" t="str">
        <f>K155</f>
        <v>Benefit withdrawn in two steps, fully withdrawn when family net income per person exceeds RON 530 per month (23% of AW)</v>
      </c>
      <c r="L156" s="313" t="s">
        <v>120</v>
      </c>
    </row>
    <row r="158" spans="1:12" x14ac:dyDescent="0.2">
      <c r="B158" s="395" t="s">
        <v>98</v>
      </c>
    </row>
    <row r="159" spans="1:12" x14ac:dyDescent="0.2">
      <c r="B159" s="46" t="str">
        <f>'Unemployment Insurance'!A53</f>
        <v>1. "n.a." equals not applicable, "..." equals no information available.</v>
      </c>
      <c r="C159" s="33"/>
      <c r="D159" s="33"/>
      <c r="E159" s="33"/>
      <c r="F159" s="33"/>
      <c r="G159" s="33"/>
      <c r="H159" s="33"/>
      <c r="I159" s="33"/>
      <c r="J159" s="33"/>
      <c r="K159" s="33"/>
      <c r="L159" s="33"/>
    </row>
    <row r="160" spans="1:12" x14ac:dyDescent="0.2">
      <c r="B160" s="12" t="s">
        <v>808</v>
      </c>
      <c r="C160" s="33"/>
      <c r="D160" s="33"/>
      <c r="E160" s="33"/>
      <c r="F160" s="33"/>
      <c r="G160" s="33"/>
      <c r="H160" s="33"/>
      <c r="I160" s="33"/>
      <c r="J160" s="33"/>
      <c r="K160" s="33"/>
      <c r="L160" s="33"/>
    </row>
    <row r="161" spans="2:12" x14ac:dyDescent="0.2">
      <c r="B161" s="37" t="s">
        <v>886</v>
      </c>
      <c r="C161" s="35"/>
      <c r="D161" s="35"/>
      <c r="E161" s="35"/>
      <c r="F161" s="35"/>
      <c r="G161" s="35"/>
      <c r="H161" s="35"/>
      <c r="I161" s="35"/>
      <c r="J161" s="35"/>
      <c r="K161" s="35"/>
      <c r="L161" s="35"/>
    </row>
    <row r="162" spans="2:12" x14ac:dyDescent="0.2">
      <c r="B162" s="12" t="s">
        <v>809</v>
      </c>
      <c r="C162" s="35"/>
      <c r="D162" s="35"/>
      <c r="E162" s="35"/>
      <c r="F162" s="35"/>
      <c r="G162" s="35"/>
      <c r="H162" s="35"/>
      <c r="I162" s="35"/>
      <c r="J162" s="35"/>
      <c r="K162" s="35"/>
      <c r="L162" s="35"/>
    </row>
    <row r="163" spans="2:12" x14ac:dyDescent="0.2">
      <c r="B163" s="480" t="s">
        <v>1071</v>
      </c>
      <c r="C163" s="35"/>
      <c r="D163" s="35"/>
      <c r="E163" s="35"/>
      <c r="F163" s="35"/>
      <c r="G163" s="35"/>
      <c r="H163" s="35"/>
      <c r="I163" s="35"/>
      <c r="J163" s="35"/>
      <c r="K163" s="35"/>
      <c r="L163" s="35"/>
    </row>
    <row r="164" spans="2:12" x14ac:dyDescent="0.2">
      <c r="B164" s="12" t="s">
        <v>810</v>
      </c>
      <c r="C164" s="35"/>
      <c r="D164" s="35"/>
      <c r="E164" s="35"/>
      <c r="F164" s="35"/>
      <c r="G164" s="35"/>
      <c r="H164" s="35"/>
      <c r="I164" s="35"/>
      <c r="J164" s="35"/>
      <c r="K164" s="35"/>
      <c r="L164" s="35"/>
    </row>
    <row r="165" spans="2:12" x14ac:dyDescent="0.2">
      <c r="B165" s="37" t="s">
        <v>988</v>
      </c>
      <c r="C165" s="35"/>
      <c r="D165" s="35"/>
      <c r="E165" s="35"/>
      <c r="F165" s="35"/>
      <c r="G165" s="35"/>
      <c r="H165" s="35"/>
      <c r="I165" s="35"/>
      <c r="J165" s="35"/>
      <c r="K165" s="35"/>
      <c r="L165" s="35"/>
    </row>
    <row r="166" spans="2:12" x14ac:dyDescent="0.2">
      <c r="B166" s="12" t="s">
        <v>811</v>
      </c>
      <c r="C166" s="35"/>
      <c r="G166" s="35"/>
      <c r="H166" s="35"/>
      <c r="I166" s="35"/>
      <c r="J166" s="35"/>
      <c r="K166" s="35"/>
      <c r="L166" s="35"/>
    </row>
    <row r="167" spans="2:12" x14ac:dyDescent="0.2">
      <c r="B167" s="12" t="s">
        <v>1036</v>
      </c>
      <c r="C167" s="35"/>
      <c r="D167" s="35"/>
      <c r="E167" s="35"/>
      <c r="F167" s="35"/>
      <c r="G167" s="35"/>
      <c r="H167" s="35"/>
      <c r="I167" s="35"/>
      <c r="J167" s="35"/>
      <c r="K167" s="35"/>
      <c r="L167" s="35"/>
    </row>
    <row r="168" spans="2:12" x14ac:dyDescent="0.2">
      <c r="B168" s="12" t="s">
        <v>1031</v>
      </c>
      <c r="C168" s="35"/>
      <c r="D168" s="35"/>
      <c r="E168" s="35"/>
      <c r="F168" s="35"/>
      <c r="G168" s="35"/>
      <c r="H168" s="35"/>
      <c r="I168" s="35"/>
      <c r="J168" s="35"/>
      <c r="K168" s="35"/>
      <c r="L168" s="35"/>
    </row>
    <row r="169" spans="2:12" x14ac:dyDescent="0.2">
      <c r="B169" s="584"/>
      <c r="C169" s="584"/>
      <c r="D169" s="584"/>
      <c r="E169" s="584"/>
      <c r="F169" s="584"/>
      <c r="G169" s="585"/>
      <c r="H169" s="585"/>
      <c r="I169" s="585"/>
      <c r="J169" s="585"/>
      <c r="K169" s="585"/>
      <c r="L169" s="585"/>
    </row>
    <row r="170" spans="2:12" x14ac:dyDescent="0.2">
      <c r="B170" s="1" t="s">
        <v>106</v>
      </c>
      <c r="C170" s="5" t="s">
        <v>10</v>
      </c>
      <c r="D170" s="4"/>
      <c r="E170" s="4"/>
      <c r="F170" s="4"/>
      <c r="G170" s="394"/>
      <c r="H170" s="394"/>
      <c r="I170" s="394"/>
      <c r="J170" s="394"/>
      <c r="K170" s="394"/>
      <c r="L170" s="394"/>
    </row>
  </sheetData>
  <mergeCells count="15">
    <mergeCell ref="B169:L169"/>
    <mergeCell ref="B1:L1"/>
    <mergeCell ref="B2:L2"/>
    <mergeCell ref="C5:C7"/>
    <mergeCell ref="D5:D7"/>
    <mergeCell ref="E5:F5"/>
    <mergeCell ref="G5:I5"/>
    <mergeCell ref="J5:K5"/>
    <mergeCell ref="E6:E7"/>
    <mergeCell ref="F6:F7"/>
    <mergeCell ref="G6:G7"/>
    <mergeCell ref="H6:I6"/>
    <mergeCell ref="J6:J7"/>
    <mergeCell ref="K6:K7"/>
    <mergeCell ref="L6:L7"/>
  </mergeCells>
  <hyperlinks>
    <hyperlink ref="C170"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69"/>
  <sheetViews>
    <sheetView zoomScale="90" zoomScaleNormal="90" workbookViewId="0">
      <pane ySplit="6" topLeftCell="A67" activePane="bottomLeft" state="frozen"/>
      <selection pane="bottomLeft" activeCell="F19" sqref="F19"/>
    </sheetView>
  </sheetViews>
  <sheetFormatPr defaultRowHeight="12.75" x14ac:dyDescent="0.2"/>
  <cols>
    <col min="1" max="1" width="18.28515625" customWidth="1"/>
    <col min="2" max="2" width="16.85546875" customWidth="1"/>
    <col min="3" max="3" width="17.140625" customWidth="1"/>
    <col min="4" max="4" width="25.28515625" customWidth="1"/>
    <col min="5" max="5" width="11.7109375" bestFit="1" customWidth="1"/>
    <col min="6" max="7" width="11.42578125" bestFit="1" customWidth="1"/>
    <col min="8" max="8" width="12.85546875" bestFit="1" customWidth="1"/>
    <col min="9" max="9" width="11.42578125" bestFit="1" customWidth="1"/>
    <col min="10" max="10" width="11.5703125" bestFit="1" customWidth="1"/>
    <col min="11" max="11" width="13.5703125" customWidth="1"/>
    <col min="12" max="12" width="23.85546875" bestFit="1" customWidth="1"/>
    <col min="13" max="13" width="11.42578125" bestFit="1" customWidth="1"/>
    <col min="14" max="14" width="15" bestFit="1" customWidth="1"/>
    <col min="15" max="15" width="12.28515625" bestFit="1" customWidth="1"/>
    <col min="16" max="16" width="13.140625" customWidth="1"/>
  </cols>
  <sheetData>
    <row r="1" spans="1:16" ht="18" x14ac:dyDescent="0.2">
      <c r="A1" s="574" t="s">
        <v>897</v>
      </c>
      <c r="B1" s="574"/>
      <c r="C1" s="574"/>
      <c r="D1" s="574"/>
      <c r="E1" s="574"/>
      <c r="F1" s="574"/>
      <c r="G1" s="574"/>
      <c r="H1" s="574"/>
      <c r="I1" s="574"/>
      <c r="J1" s="574"/>
      <c r="K1" s="574"/>
      <c r="L1" s="574"/>
      <c r="M1" s="574"/>
      <c r="N1" s="574"/>
      <c r="O1" s="574"/>
      <c r="P1" s="574"/>
    </row>
    <row r="2" spans="1:16" ht="18" x14ac:dyDescent="0.2">
      <c r="A2" s="574">
        <v>2014</v>
      </c>
      <c r="B2" s="574"/>
      <c r="C2" s="574"/>
      <c r="D2" s="574"/>
      <c r="E2" s="574"/>
      <c r="F2" s="574"/>
      <c r="G2" s="574"/>
      <c r="H2" s="574"/>
      <c r="I2" s="574"/>
      <c r="J2" s="574"/>
      <c r="K2" s="574"/>
      <c r="L2" s="574"/>
      <c r="M2" s="574"/>
      <c r="N2" s="574"/>
      <c r="O2" s="574"/>
      <c r="P2" s="574"/>
    </row>
    <row r="4" spans="1:16" ht="13.5" x14ac:dyDescent="0.2">
      <c r="B4" s="582" t="s">
        <v>519</v>
      </c>
      <c r="C4" s="596" t="s">
        <v>701</v>
      </c>
      <c r="D4" s="598" t="s">
        <v>702</v>
      </c>
      <c r="E4" s="600" t="s">
        <v>703</v>
      </c>
      <c r="F4" s="601"/>
      <c r="G4" s="601"/>
      <c r="H4" s="601"/>
      <c r="I4" s="601"/>
      <c r="J4" s="602"/>
      <c r="K4" s="603" t="s">
        <v>721</v>
      </c>
      <c r="L4" s="604"/>
      <c r="M4" s="604"/>
      <c r="N4" s="604"/>
      <c r="O4" s="604"/>
      <c r="P4" s="605"/>
    </row>
    <row r="5" spans="1:16" ht="85.5" x14ac:dyDescent="0.2">
      <c r="B5" s="583"/>
      <c r="C5" s="597"/>
      <c r="D5" s="599"/>
      <c r="E5" s="323" t="s">
        <v>704</v>
      </c>
      <c r="F5" s="324" t="s">
        <v>705</v>
      </c>
      <c r="G5" s="324" t="s">
        <v>706</v>
      </c>
      <c r="H5" s="324" t="s">
        <v>707</v>
      </c>
      <c r="I5" s="324" t="s">
        <v>708</v>
      </c>
      <c r="J5" s="325" t="s">
        <v>709</v>
      </c>
      <c r="K5" s="324" t="s">
        <v>722</v>
      </c>
      <c r="L5" s="324" t="s">
        <v>710</v>
      </c>
      <c r="M5" s="324" t="s">
        <v>711</v>
      </c>
      <c r="N5" s="324" t="s">
        <v>712</v>
      </c>
      <c r="O5" s="324" t="s">
        <v>723</v>
      </c>
      <c r="P5" s="325" t="s">
        <v>724</v>
      </c>
    </row>
    <row r="6" spans="1:16" x14ac:dyDescent="0.2">
      <c r="B6" s="198" t="s">
        <v>46</v>
      </c>
      <c r="C6" s="199" t="s">
        <v>47</v>
      </c>
      <c r="D6" s="200" t="s">
        <v>48</v>
      </c>
      <c r="E6" s="198" t="s">
        <v>49</v>
      </c>
      <c r="F6" s="199" t="s">
        <v>50</v>
      </c>
      <c r="G6" s="199" t="s">
        <v>51</v>
      </c>
      <c r="H6" s="199" t="s">
        <v>52</v>
      </c>
      <c r="I6" s="199" t="s">
        <v>53</v>
      </c>
      <c r="J6" s="200" t="s">
        <v>54</v>
      </c>
      <c r="K6" s="199" t="s">
        <v>55</v>
      </c>
      <c r="L6" s="199" t="s">
        <v>56</v>
      </c>
      <c r="M6" s="199" t="s">
        <v>57</v>
      </c>
      <c r="N6" s="199" t="s">
        <v>58</v>
      </c>
      <c r="O6" s="199" t="s">
        <v>59</v>
      </c>
      <c r="P6" s="200" t="s">
        <v>713</v>
      </c>
    </row>
    <row r="7" spans="1:16" x14ac:dyDescent="0.2">
      <c r="A7" s="326" t="s">
        <v>60</v>
      </c>
      <c r="B7" s="198"/>
      <c r="C7" s="199"/>
      <c r="D7" s="199"/>
      <c r="E7" s="198"/>
      <c r="F7" s="199"/>
      <c r="G7" s="199"/>
      <c r="H7" s="199"/>
      <c r="I7" s="199"/>
      <c r="J7" s="199"/>
      <c r="K7" s="198"/>
      <c r="L7" s="199"/>
      <c r="M7" s="199"/>
      <c r="N7" s="199"/>
      <c r="O7" s="199"/>
      <c r="P7" s="200"/>
    </row>
    <row r="8" spans="1:16" ht="84" x14ac:dyDescent="0.2">
      <c r="A8" s="221" t="s">
        <v>437</v>
      </c>
      <c r="B8" s="489" t="s">
        <v>1063</v>
      </c>
      <c r="C8" s="327" t="s">
        <v>734</v>
      </c>
      <c r="D8" s="327" t="str">
        <f>"Families with primary earner earning between AUD 68,000 ("&amp;TEXT(68000/'Average wages'!B4,"0%")&amp;" of AW) and AUD 150,000 ("&amp;TEXT(150000/'Average wages'!B4,"0%")&amp;" of AW)"</f>
        <v>Families with primary earner earning between AUD 68,000 (86% of AW) and AUD 150,000 (189% of AW)</v>
      </c>
      <c r="E8" s="215" t="s">
        <v>153</v>
      </c>
      <c r="F8" s="327" t="s">
        <v>341</v>
      </c>
      <c r="G8" s="327" t="s">
        <v>153</v>
      </c>
      <c r="H8" s="327" t="s">
        <v>153</v>
      </c>
      <c r="I8" s="327" t="s">
        <v>153</v>
      </c>
      <c r="J8" s="327" t="s">
        <v>341</v>
      </c>
      <c r="K8" s="215" t="s">
        <v>1392</v>
      </c>
      <c r="L8" s="327" t="str">
        <f>"AUD 300/year ("&amp;TEXT(300/'Average wages'!B4,"0.0%")&amp;" of AW)"</f>
        <v>AUD 300/year (0.4% of AW)</v>
      </c>
      <c r="M8" s="479">
        <v>2.5000000000000001E-2</v>
      </c>
      <c r="N8" s="327" t="s">
        <v>1064</v>
      </c>
      <c r="O8" s="327" t="str">
        <f>""&amp;TEXT(120000/'Average wages'!B4,"0%")&amp;" for lone parents and higher earner in couples.
"&amp;TEXT(16000/'Average wages'!B4,"0%")&amp;" for lower earner in couples."</f>
        <v>151% for lone parents and higher earner in couples.
20% for lower earner in couples.</v>
      </c>
      <c r="P8" s="328" t="str">
        <f>TEXT(150000/'Average wages'!B4,"0%")&amp;" for lone parents and higher earner in couples.
"&amp;TEXT(18000/'Average wages'!B4,"0%")&amp;" for lower earner in couples."</f>
        <v>189% for lone parents and higher earner in couples.
23% for lower earner in couples.</v>
      </c>
    </row>
    <row r="9" spans="1:16" ht="168" x14ac:dyDescent="0.2">
      <c r="A9" s="221" t="s">
        <v>61</v>
      </c>
      <c r="B9" s="215" t="s">
        <v>942</v>
      </c>
      <c r="C9" s="327" t="s">
        <v>786</v>
      </c>
      <c r="D9" s="327" t="s">
        <v>1342</v>
      </c>
      <c r="E9" s="215" t="s">
        <v>1370</v>
      </c>
      <c r="F9" s="327" t="s">
        <v>153</v>
      </c>
      <c r="G9" s="327" t="s">
        <v>153</v>
      </c>
      <c r="H9" s="327" t="s">
        <v>1385</v>
      </c>
      <c r="I9" s="327" t="s">
        <v>341</v>
      </c>
      <c r="J9" s="327" t="s">
        <v>153</v>
      </c>
      <c r="K9" s="215" t="s">
        <v>1393</v>
      </c>
      <c r="L9" s="327" t="str">
        <f>"EUR 950/month ("&amp;TEXT(100*950*12/'Average wages'!B5,0)&amp;"% of AW)"</f>
        <v>EUR 950/month (27% of AW)</v>
      </c>
      <c r="M9" s="327" t="s">
        <v>110</v>
      </c>
      <c r="N9" s="360">
        <v>1</v>
      </c>
      <c r="O9" s="363">
        <v>0</v>
      </c>
      <c r="P9" s="328" t="s">
        <v>943</v>
      </c>
    </row>
    <row r="10" spans="1:16" ht="48" x14ac:dyDescent="0.2">
      <c r="A10" s="329" t="s">
        <v>328</v>
      </c>
      <c r="B10" s="330" t="s">
        <v>568</v>
      </c>
      <c r="C10" s="331" t="s">
        <v>786</v>
      </c>
      <c r="D10" s="331" t="s">
        <v>1343</v>
      </c>
      <c r="E10" s="330" t="s">
        <v>1370</v>
      </c>
      <c r="F10" s="452" t="s">
        <v>341</v>
      </c>
      <c r="G10" s="452" t="s">
        <v>153</v>
      </c>
      <c r="H10" s="452" t="s">
        <v>1375</v>
      </c>
      <c r="I10" s="452" t="s">
        <v>341</v>
      </c>
      <c r="J10" s="452" t="s">
        <v>153</v>
      </c>
      <c r="K10" s="330" t="s">
        <v>110</v>
      </c>
      <c r="L10" s="452" t="str">
        <f>"EUR 955 ("&amp;TEXT(955/'Average wages'!B6,"0%")&amp;" of AW)"</f>
        <v>EUR 955 (2% of AW)</v>
      </c>
      <c r="M10" s="452" t="s">
        <v>110</v>
      </c>
      <c r="N10" s="452" t="s">
        <v>110</v>
      </c>
      <c r="O10" s="364" t="s">
        <v>732</v>
      </c>
      <c r="P10" s="365" t="s">
        <v>732</v>
      </c>
    </row>
    <row r="11" spans="1:16" ht="96" x14ac:dyDescent="0.2">
      <c r="A11" s="220"/>
      <c r="B11" s="333" t="s">
        <v>763</v>
      </c>
      <c r="C11" s="334" t="s">
        <v>1341</v>
      </c>
      <c r="D11" s="445" t="s">
        <v>1365</v>
      </c>
      <c r="E11" s="333" t="s">
        <v>153</v>
      </c>
      <c r="F11" s="445" t="s">
        <v>153</v>
      </c>
      <c r="G11" s="445" t="s">
        <v>153</v>
      </c>
      <c r="H11" s="445" t="s">
        <v>153</v>
      </c>
      <c r="I11" s="445" t="s">
        <v>153</v>
      </c>
      <c r="J11" s="445" t="s">
        <v>153</v>
      </c>
      <c r="K11" s="333" t="s">
        <v>760</v>
      </c>
      <c r="L11" s="445" t="str">
        <f>"EUR 2,208 ("&amp;TEXT(2208/'Average wages'!B6,"0%")&amp;" of AW)"</f>
        <v>EUR 2,208 (5% of AW)</v>
      </c>
      <c r="M11" s="381" t="s">
        <v>110</v>
      </c>
      <c r="N11" s="491">
        <v>0.20280000000000001</v>
      </c>
      <c r="O11" s="506">
        <v>0.39010843634605408</v>
      </c>
      <c r="P11" s="507">
        <v>0.61962723731994629</v>
      </c>
    </row>
    <row r="12" spans="1:16" ht="48" x14ac:dyDescent="0.2">
      <c r="A12" s="329" t="s">
        <v>63</v>
      </c>
      <c r="B12" s="330" t="s">
        <v>572</v>
      </c>
      <c r="C12" s="331" t="s">
        <v>570</v>
      </c>
      <c r="D12" s="331" t="s">
        <v>1344</v>
      </c>
      <c r="E12" s="330" t="s">
        <v>153</v>
      </c>
      <c r="F12" s="452" t="s">
        <v>153</v>
      </c>
      <c r="G12" s="452" t="s">
        <v>153</v>
      </c>
      <c r="H12" s="452" t="s">
        <v>153</v>
      </c>
      <c r="I12" s="452" t="s">
        <v>153</v>
      </c>
      <c r="J12" s="452" t="s">
        <v>1388</v>
      </c>
      <c r="K12" s="330" t="s">
        <v>764</v>
      </c>
      <c r="L12" s="452" t="str">
        <f>"CAD 989 ("&amp;TEXT(989/'Average wages'!B7,"0%")&amp;" of AW) for singles;
CAD1,797 ("&amp;TEXT(1797/'Average wages'!B7,"0%")&amp;" of AW) for couples and lone parents"</f>
        <v>CAD 989 (2% of AW) for singles;
CAD1,797 (4% of AW) for couples and lone parents</v>
      </c>
      <c r="M12" s="148">
        <v>0.25</v>
      </c>
      <c r="N12" s="148">
        <v>0.15</v>
      </c>
      <c r="O12" s="364">
        <v>0.23424269258975983</v>
      </c>
      <c r="P12" s="508" t="s">
        <v>725</v>
      </c>
    </row>
    <row r="13" spans="1:16" ht="60" x14ac:dyDescent="0.2">
      <c r="A13" s="335"/>
      <c r="B13" s="358" t="s">
        <v>733</v>
      </c>
      <c r="C13" s="337" t="s">
        <v>734</v>
      </c>
      <c r="D13" s="337" t="s">
        <v>1345</v>
      </c>
      <c r="E13" s="336" t="s">
        <v>735</v>
      </c>
      <c r="F13" s="337" t="s">
        <v>153</v>
      </c>
      <c r="G13" s="337" t="s">
        <v>153</v>
      </c>
      <c r="H13" s="337" t="s">
        <v>153</v>
      </c>
      <c r="I13" s="337" t="s">
        <v>341</v>
      </c>
      <c r="J13" s="337" t="s">
        <v>153</v>
      </c>
      <c r="K13" s="336" t="s">
        <v>110</v>
      </c>
      <c r="L13" s="337" t="str">
        <f>"CAD 253 ("&amp;TEXT(253/'Average wages'!B7,"0.0%")&amp;" of AW)"</f>
        <v>CAD 253 (0.5% of AW)</v>
      </c>
      <c r="M13" s="366" t="s">
        <v>110</v>
      </c>
      <c r="N13" s="366" t="s">
        <v>110</v>
      </c>
      <c r="O13" s="367" t="s">
        <v>110</v>
      </c>
      <c r="P13" s="368" t="s">
        <v>110</v>
      </c>
    </row>
    <row r="14" spans="1:16" ht="60" x14ac:dyDescent="0.2">
      <c r="A14" s="339"/>
      <c r="B14" s="333" t="s">
        <v>765</v>
      </c>
      <c r="C14" s="334" t="s">
        <v>734</v>
      </c>
      <c r="D14" s="334" t="s">
        <v>1346</v>
      </c>
      <c r="E14" s="333" t="s">
        <v>153</v>
      </c>
      <c r="F14" s="445" t="s">
        <v>341</v>
      </c>
      <c r="G14" s="445" t="s">
        <v>341</v>
      </c>
      <c r="H14" s="445" t="s">
        <v>153</v>
      </c>
      <c r="I14" s="445" t="s">
        <v>153</v>
      </c>
      <c r="J14" s="445" t="s">
        <v>1389</v>
      </c>
      <c r="K14" s="333" t="s">
        <v>736</v>
      </c>
      <c r="L14" s="445" t="str">
        <f>"CAD 110 ("&amp;TEXT(110/'Average wages'!B7,"0.0%")&amp;" of AW) for two-parent family
CAD 1,210 ("&amp;TEXT(1210/'Average wages'!B7,"0%")&amp;" of AW) for lone parent family"</f>
        <v>CAD 110 (0.2% of AW) for two-parent family
CAD 1,210 (2% of AW) for lone parent family</v>
      </c>
      <c r="M14" s="369" t="s">
        <v>110</v>
      </c>
      <c r="N14" s="94">
        <v>0.08</v>
      </c>
      <c r="O14" s="370" t="s">
        <v>737</v>
      </c>
      <c r="P14" s="371" t="s">
        <v>726</v>
      </c>
    </row>
    <row r="15" spans="1:16" ht="48" x14ac:dyDescent="0.2">
      <c r="A15" s="329" t="s">
        <v>64</v>
      </c>
      <c r="B15" s="330" t="s">
        <v>766</v>
      </c>
      <c r="C15" s="331" t="s">
        <v>734</v>
      </c>
      <c r="D15" s="331" t="s">
        <v>1347</v>
      </c>
      <c r="E15" s="330" t="s">
        <v>1371</v>
      </c>
      <c r="F15" s="452" t="s">
        <v>153</v>
      </c>
      <c r="G15" s="452" t="s">
        <v>153</v>
      </c>
      <c r="H15" s="452" t="s">
        <v>153</v>
      </c>
      <c r="I15" s="452" t="s">
        <v>153</v>
      </c>
      <c r="J15" s="452" t="s">
        <v>153</v>
      </c>
      <c r="K15" s="330" t="s">
        <v>760</v>
      </c>
      <c r="L15" s="452" t="str">
        <f>"CLP 34,795 ("&amp;TEXT(34795/'Average wages'!B8,"0.0%")&amp;" of AW)"</f>
        <v>CLP 34,795 (0.4% of AW)</v>
      </c>
      <c r="M15" s="455">
        <v>0.2</v>
      </c>
      <c r="N15" s="455">
        <v>0.2</v>
      </c>
      <c r="O15" s="364">
        <v>0.39513180493242478</v>
      </c>
      <c r="P15" s="365">
        <v>0.71123652209225363</v>
      </c>
    </row>
    <row r="16" spans="1:16" ht="84" x14ac:dyDescent="0.2">
      <c r="A16" s="342" t="s">
        <v>68</v>
      </c>
      <c r="B16" s="330" t="s">
        <v>971</v>
      </c>
      <c r="C16" s="331" t="s">
        <v>1337</v>
      </c>
      <c r="D16" s="331" t="s">
        <v>1366</v>
      </c>
      <c r="E16" s="330" t="s">
        <v>341</v>
      </c>
      <c r="F16" s="452" t="s">
        <v>153</v>
      </c>
      <c r="G16" s="452" t="s">
        <v>341</v>
      </c>
      <c r="H16" s="452" t="s">
        <v>738</v>
      </c>
      <c r="I16" s="452" t="s">
        <v>341</v>
      </c>
      <c r="J16" s="452" t="s">
        <v>153</v>
      </c>
      <c r="K16" s="376" t="s">
        <v>762</v>
      </c>
      <c r="L16" s="377" t="s">
        <v>1396</v>
      </c>
      <c r="M16" s="377" t="s">
        <v>110</v>
      </c>
      <c r="N16" s="378" t="s">
        <v>767</v>
      </c>
      <c r="O16" s="332">
        <v>0</v>
      </c>
      <c r="P16" s="508" t="s">
        <v>739</v>
      </c>
    </row>
    <row r="17" spans="1:16" ht="24" x14ac:dyDescent="0.2">
      <c r="A17" s="344"/>
      <c r="B17" s="336" t="s">
        <v>740</v>
      </c>
      <c r="C17" s="337" t="s">
        <v>626</v>
      </c>
      <c r="D17" s="345" t="s">
        <v>741</v>
      </c>
      <c r="E17" s="336" t="s">
        <v>153</v>
      </c>
      <c r="F17" s="337" t="s">
        <v>153</v>
      </c>
      <c r="G17" s="337" t="s">
        <v>153</v>
      </c>
      <c r="H17" s="337" t="s">
        <v>153</v>
      </c>
      <c r="I17" s="337" t="s">
        <v>153</v>
      </c>
      <c r="J17" s="337" t="str">
        <f>"Yes, "&amp;TEXT(2500/'Average wages'!B12,"0%")&amp;" of AW"</f>
        <v>Yes, 6% of AW</v>
      </c>
      <c r="K17" s="383" t="s">
        <v>760</v>
      </c>
      <c r="L17" s="337" t="str">
        <f>"EUR 1,010 per year ("&amp;TEXT(1010/'Average wages'!B12,"0%")&amp;" of AW)"</f>
        <v>EUR 1,010 per year (2% of AW)</v>
      </c>
      <c r="M17" s="385">
        <v>7.3999999999999996E-2</v>
      </c>
      <c r="N17" s="472">
        <v>1.15E-2</v>
      </c>
      <c r="O17" s="338">
        <f>33000/'Average wages'!B12</f>
        <v>0.77276133383289625</v>
      </c>
      <c r="P17" s="509">
        <v>2.81</v>
      </c>
    </row>
    <row r="18" spans="1:16" ht="300" x14ac:dyDescent="0.2">
      <c r="A18" s="342" t="s">
        <v>727</v>
      </c>
      <c r="B18" s="330" t="s">
        <v>768</v>
      </c>
      <c r="C18" s="331" t="s">
        <v>1337</v>
      </c>
      <c r="D18" s="331" t="s">
        <v>1348</v>
      </c>
      <c r="E18" s="330" t="s">
        <v>1370</v>
      </c>
      <c r="F18" s="452" t="s">
        <v>153</v>
      </c>
      <c r="G18" s="452" t="s">
        <v>153</v>
      </c>
      <c r="H18" s="452" t="s">
        <v>742</v>
      </c>
      <c r="I18" s="452" t="s">
        <v>153</v>
      </c>
      <c r="J18" s="452" t="s">
        <v>153</v>
      </c>
      <c r="K18" s="330" t="s">
        <v>769</v>
      </c>
      <c r="L18" s="452" t="str">
        <f>"See unemployment assistance sheet: 
if working less than 78 hours/month and gross wage less than EUR 722.69/month ("&amp;TEXT(722.69*12/'Average wages'!B13,"0%")&amp;CONCATENATE(" of AW) full benefit retained for first 6 months, payment amount in months 7 to 12 reduced by 40% of earnings","
if working less than 78 hours/month and gross wage above this level: benefit payments in months 1 to 6 reduced by 40% of earnings above EUR 722.69/month, payment amount in months 7 to 12 reduced by 40% of earnings","
if working more than 78 hours/month: full benefit retained for first 3 months, benefit reduced by 100% of earnings in months 4 to 12 but bonus of EUR150/month")</f>
        <v>See unemployment assistance sheet: 
if working less than 78 hours/month and gross wage less than EUR 722.69/month (23% of AW) full benefit retained for first 6 months, payment amount in months 7 to 12 reduced by 40% of earnings
if working less than 78 hours/month and gross wage above this level: benefit payments in months 1 to 6 reduced by 40% of earnings above EUR 722.69/month, payment amount in months 7 to 12 reduced by 40% of earnings
if working more than 78 hours/month: full benefit retained for first 3 months, benefit reduced by 100% of earnings in months 4 to 12 but bonus of EUR150/month</v>
      </c>
      <c r="M18" s="452" t="s">
        <v>110</v>
      </c>
      <c r="N18" s="452" t="s">
        <v>770</v>
      </c>
      <c r="O18" s="332" t="s">
        <v>1406</v>
      </c>
      <c r="P18" s="259" t="s">
        <v>1406</v>
      </c>
    </row>
    <row r="19" spans="1:16" ht="108" x14ac:dyDescent="0.2">
      <c r="A19" s="343"/>
      <c r="B19" s="336" t="s">
        <v>771</v>
      </c>
      <c r="C19" s="337" t="s">
        <v>1338</v>
      </c>
      <c r="D19" s="337" t="s">
        <v>1349</v>
      </c>
      <c r="E19" s="336" t="s">
        <v>341</v>
      </c>
      <c r="F19" s="337" t="s">
        <v>153</v>
      </c>
      <c r="G19" s="337" t="s">
        <v>153</v>
      </c>
      <c r="H19" s="337" t="s">
        <v>153</v>
      </c>
      <c r="I19" s="337" t="s">
        <v>341</v>
      </c>
      <c r="J19" s="337" t="s">
        <v>153</v>
      </c>
      <c r="K19" s="336" t="s">
        <v>762</v>
      </c>
      <c r="L19" s="337" t="s">
        <v>1397</v>
      </c>
      <c r="M19" s="337" t="s">
        <v>110</v>
      </c>
      <c r="N19" s="337" t="s">
        <v>772</v>
      </c>
      <c r="O19" s="367">
        <v>0</v>
      </c>
      <c r="P19" s="510" t="s">
        <v>773</v>
      </c>
    </row>
    <row r="20" spans="1:16" ht="108" x14ac:dyDescent="0.2">
      <c r="A20" s="219"/>
      <c r="B20" s="333" t="s">
        <v>774</v>
      </c>
      <c r="C20" s="334" t="s">
        <v>570</v>
      </c>
      <c r="D20" s="334" t="s">
        <v>1344</v>
      </c>
      <c r="E20" s="333" t="s">
        <v>153</v>
      </c>
      <c r="F20" s="445" t="s">
        <v>153</v>
      </c>
      <c r="G20" s="445" t="s">
        <v>153</v>
      </c>
      <c r="H20" s="445" t="s">
        <v>1376</v>
      </c>
      <c r="I20" s="445" t="s">
        <v>153</v>
      </c>
      <c r="J20" s="445" t="str">
        <f>"Yes, net taxable earnings of at least "&amp;TEXT(3743/'Average wages'!B13,"0%")&amp;" of AW"</f>
        <v>Yes, net taxable earnings of at least 10% of AW</v>
      </c>
      <c r="K20" s="333" t="s">
        <v>743</v>
      </c>
      <c r="L20" s="445" t="str">
        <f>"EUR 961 ("&amp;TEXT(961/'Average wages'!B13,"0%")&amp;" of AW) for singles or dual earner couples;
EUR 1,044 ("&amp;TEXT(1044/'Average wages'!B13,"0%")&amp;" of AW) for single earner couples
plus child supplement of EUR 36 ("&amp;TEXT(36/'Average wages'!B13,"0.0%")&amp;" of AW)
plus lone parent supplement of EUR 36"</f>
        <v>EUR 961 (3% of AW) for singles or dual earner couples;
EUR 1,044 (3% of AW) for single earner couples
plus child supplement of EUR 36 (0.1% of AW)
plus lone parent supplement of EUR 36</v>
      </c>
      <c r="M20" s="347">
        <v>7.6999999999999999E-2</v>
      </c>
      <c r="N20" s="445" t="s">
        <v>744</v>
      </c>
      <c r="O20" s="340" t="str">
        <f>TEXT(12475/'Average wages'!B13,"0%")&amp;" for singles and those with a working spouse;
"&amp;TEXT(24950/'Average wages'!B13,"0%")&amp;" for single-earner couples"</f>
        <v>34% for singles and those with a working spouse;
67% for single-earner couples</v>
      </c>
      <c r="P20" s="511" t="s">
        <v>728</v>
      </c>
    </row>
    <row r="21" spans="1:16" ht="96" x14ac:dyDescent="0.2">
      <c r="A21" s="220" t="s">
        <v>70</v>
      </c>
      <c r="B21" s="333" t="s">
        <v>745</v>
      </c>
      <c r="C21" s="445" t="s">
        <v>1339</v>
      </c>
      <c r="D21" s="445" t="s">
        <v>1350</v>
      </c>
      <c r="E21" s="333" t="s">
        <v>153</v>
      </c>
      <c r="F21" s="445" t="s">
        <v>153</v>
      </c>
      <c r="G21" s="445" t="s">
        <v>153</v>
      </c>
      <c r="H21" s="445" t="s">
        <v>153</v>
      </c>
      <c r="I21" s="445" t="s">
        <v>153</v>
      </c>
      <c r="J21" s="445" t="s">
        <v>381</v>
      </c>
      <c r="K21" s="333" t="s">
        <v>760</v>
      </c>
      <c r="L21" s="445" t="str">
        <f>"Only pension contributions of 3.9% up to EUR5400 ("&amp;TEXT(100*5400/'Average wages'!B14,0)&amp;"% of AW) gross income per year, general contributions are phased in between EUR5400 and EUR10200 ("&amp;TEXT(100*10200/'Average wages'!B14,0)&amp;"% of AW), so-called 'midi job'"</f>
        <v>Only pension contributions of 3.9% up to EUR5400 (12% of AW) gross income per year, general contributions are phased in between EUR5400 and EUR10200 (22% of AW), so-called 'midi job'</v>
      </c>
      <c r="M21" s="445" t="s">
        <v>110</v>
      </c>
      <c r="N21" s="445" t="s">
        <v>1403</v>
      </c>
      <c r="O21" s="370">
        <f>5401/'Average wages'!B14</f>
        <v>0.11748966717424407</v>
      </c>
      <c r="P21" s="371">
        <f>10201/'Average wages'!B14</f>
        <v>0.2219055906025669</v>
      </c>
    </row>
    <row r="22" spans="1:16" ht="96" x14ac:dyDescent="0.2">
      <c r="A22" s="342" t="s">
        <v>543</v>
      </c>
      <c r="B22" s="330" t="s">
        <v>775</v>
      </c>
      <c r="C22" s="331" t="s">
        <v>734</v>
      </c>
      <c r="D22" s="331" t="s">
        <v>1344</v>
      </c>
      <c r="E22" s="330" t="s">
        <v>153</v>
      </c>
      <c r="F22" s="452" t="s">
        <v>341</v>
      </c>
      <c r="G22" s="452" t="s">
        <v>341</v>
      </c>
      <c r="H22" s="452" t="s">
        <v>1377</v>
      </c>
      <c r="I22" s="452" t="s">
        <v>153</v>
      </c>
      <c r="J22" s="452" t="s">
        <v>381</v>
      </c>
      <c r="K22" s="330" t="s">
        <v>746</v>
      </c>
      <c r="L22" s="452" t="str">
        <f>"60% of the difference between the weekly family income and a weekly income limit for the family size; income limit varies with family size; minimum supplement: EUR 20 per week ("&amp;TEXT(20*52*100/'Average wages'!B18,0)&amp;"% of AW). "</f>
        <v xml:space="preserve">60% of the difference between the weekly family income and a weekly income limit for the family size; income limit varies with family size; minimum supplement: EUR 20 per week (2% of AW). </v>
      </c>
      <c r="M22" s="377" t="s">
        <v>110</v>
      </c>
      <c r="N22" s="378">
        <v>0.6</v>
      </c>
      <c r="O22" s="364">
        <v>0</v>
      </c>
      <c r="P22" s="365" t="str">
        <f>TEXT(28750*100/'Average wages'!B18,0)&amp;"% for a couple with one child."</f>
        <v>66% for a couple with one child.</v>
      </c>
    </row>
    <row r="23" spans="1:16" ht="44.25" customHeight="1" x14ac:dyDescent="0.2">
      <c r="A23" s="203" t="s">
        <v>75</v>
      </c>
      <c r="B23" s="215" t="s">
        <v>631</v>
      </c>
      <c r="C23" s="327" t="s">
        <v>570</v>
      </c>
      <c r="D23" s="327" t="s">
        <v>1367</v>
      </c>
      <c r="E23" s="215" t="s">
        <v>153</v>
      </c>
      <c r="F23" s="327" t="s">
        <v>341</v>
      </c>
      <c r="G23" s="327" t="s">
        <v>341</v>
      </c>
      <c r="H23" s="327" t="s">
        <v>153</v>
      </c>
      <c r="I23" s="327" t="s">
        <v>153</v>
      </c>
      <c r="J23" s="327" t="s">
        <v>341</v>
      </c>
      <c r="K23" s="215" t="s">
        <v>776</v>
      </c>
      <c r="L23" s="327" t="s">
        <v>1399</v>
      </c>
      <c r="M23" s="327" t="s">
        <v>110</v>
      </c>
      <c r="N23" s="327" t="s">
        <v>110</v>
      </c>
      <c r="O23" s="363">
        <f>2070*12/'Average wages'!B19</f>
        <v>0.18434410900347314</v>
      </c>
      <c r="P23" s="373">
        <f>6240*12/'Average wages'!B19</f>
        <v>0.555703980764093</v>
      </c>
    </row>
    <row r="24" spans="1:16" ht="96" x14ac:dyDescent="0.2">
      <c r="A24" s="203" t="s">
        <v>76</v>
      </c>
      <c r="B24" s="215" t="s">
        <v>622</v>
      </c>
      <c r="C24" s="327" t="s">
        <v>734</v>
      </c>
      <c r="D24" s="327" t="s">
        <v>748</v>
      </c>
      <c r="E24" s="215" t="s">
        <v>153</v>
      </c>
      <c r="F24" s="327" t="s">
        <v>341</v>
      </c>
      <c r="G24" s="327" t="s">
        <v>341</v>
      </c>
      <c r="H24" s="327" t="s">
        <v>1378</v>
      </c>
      <c r="I24" s="327" t="s">
        <v>153</v>
      </c>
      <c r="J24" s="327" t="s">
        <v>381</v>
      </c>
      <c r="K24" s="215" t="s">
        <v>751</v>
      </c>
      <c r="L24" s="327" t="str">
        <f>"EUR 950 ("&amp;TEXT(950/'Average wages'!B20,"0%")&amp;" of AW) if youngest child aged 3 or over
EUR 1220 ("&amp;TEXT(1220/'Average wages'!B20,"0%")&amp;" of AW) if youngest child aged under 3
Additional EUR 200 per child ("&amp;TEXT(200/'Average wages'!B20,"0%")&amp;" of AW) if more than 3 children"</f>
        <v>EUR 950 (3% of AW) if youngest child aged 3 or over
EUR 1220 (4% of AW) if youngest child aged under 3
Additional EUR 200 per child (1% of AW) if more than 3 children</v>
      </c>
      <c r="M24" s="327" t="s">
        <v>110</v>
      </c>
      <c r="N24" s="327" t="s">
        <v>598</v>
      </c>
      <c r="O24" s="363">
        <v>0</v>
      </c>
      <c r="P24" s="95" t="s">
        <v>777</v>
      </c>
    </row>
    <row r="25" spans="1:16" ht="60" x14ac:dyDescent="0.2">
      <c r="A25" s="329" t="s">
        <v>77</v>
      </c>
      <c r="B25" s="330" t="s">
        <v>749</v>
      </c>
      <c r="C25" s="331" t="s">
        <v>749</v>
      </c>
      <c r="D25" s="331" t="s">
        <v>1353</v>
      </c>
      <c r="E25" s="330" t="s">
        <v>341</v>
      </c>
      <c r="F25" s="452" t="s">
        <v>153</v>
      </c>
      <c r="G25" s="452" t="s">
        <v>153</v>
      </c>
      <c r="H25" s="452" t="s">
        <v>1379</v>
      </c>
      <c r="I25" s="452" t="s">
        <v>341</v>
      </c>
      <c r="J25" s="452" t="s">
        <v>153</v>
      </c>
      <c r="K25" s="330" t="s">
        <v>110</v>
      </c>
      <c r="L25" s="452" t="s">
        <v>750</v>
      </c>
      <c r="M25" s="452" t="s">
        <v>110</v>
      </c>
      <c r="N25" s="452" t="s">
        <v>110</v>
      </c>
      <c r="O25" s="378" t="s">
        <v>778</v>
      </c>
      <c r="P25" s="289" t="s">
        <v>778</v>
      </c>
    </row>
    <row r="26" spans="1:16" ht="108" x14ac:dyDescent="0.2">
      <c r="A26" s="329" t="s">
        <v>729</v>
      </c>
      <c r="B26" s="330" t="s">
        <v>1335</v>
      </c>
      <c r="C26" s="331" t="s">
        <v>749</v>
      </c>
      <c r="D26" s="331" t="s">
        <v>1352</v>
      </c>
      <c r="E26" s="330" t="s">
        <v>341</v>
      </c>
      <c r="F26" s="452" t="s">
        <v>153</v>
      </c>
      <c r="G26" s="452" t="s">
        <v>153</v>
      </c>
      <c r="H26" s="452" t="s">
        <v>153</v>
      </c>
      <c r="I26" s="452" t="s">
        <v>341</v>
      </c>
      <c r="J26" s="452" t="s">
        <v>153</v>
      </c>
      <c r="K26" s="330" t="s">
        <v>110</v>
      </c>
      <c r="L26" s="452" t="s">
        <v>1398</v>
      </c>
      <c r="M26" s="452" t="s">
        <v>110</v>
      </c>
      <c r="N26" s="452" t="s">
        <v>110</v>
      </c>
      <c r="O26" s="332" t="s">
        <v>778</v>
      </c>
      <c r="P26" s="259" t="s">
        <v>778</v>
      </c>
    </row>
    <row r="27" spans="1:16" ht="108" x14ac:dyDescent="0.2">
      <c r="A27" s="348"/>
      <c r="B27" s="336" t="s">
        <v>1336</v>
      </c>
      <c r="C27" s="337" t="s">
        <v>570</v>
      </c>
      <c r="D27" s="337" t="s">
        <v>1344</v>
      </c>
      <c r="E27" s="336" t="s">
        <v>153</v>
      </c>
      <c r="F27" s="337" t="s">
        <v>153</v>
      </c>
      <c r="G27" s="337" t="s">
        <v>153</v>
      </c>
      <c r="H27" s="337" t="s">
        <v>153</v>
      </c>
      <c r="I27" s="337" t="s">
        <v>153</v>
      </c>
      <c r="J27" s="337" t="s">
        <v>153</v>
      </c>
      <c r="K27" s="336" t="s">
        <v>751</v>
      </c>
      <c r="L27" s="337" t="str">
        <f>"KRW 2.5 million ("&amp;TEXT(2500000/'Average wages'!B22,"0%")&amp;" of AW)"</f>
        <v>KRW 2.5 million (6% of AW)</v>
      </c>
      <c r="M27" s="338" t="s">
        <v>1401</v>
      </c>
      <c r="N27" s="338" t="s">
        <v>1402</v>
      </c>
      <c r="O27" s="492">
        <f>9000000/'Average wages'!B22</f>
        <v>0.21724320115677659</v>
      </c>
      <c r="P27" s="468">
        <f>13000000/'Average wages'!B22</f>
        <v>0.31379573500423286</v>
      </c>
    </row>
    <row r="28" spans="1:16" ht="72" x14ac:dyDescent="0.2">
      <c r="A28" s="348"/>
      <c r="B28" s="58" t="s">
        <v>1254</v>
      </c>
      <c r="C28" s="337" t="s">
        <v>570</v>
      </c>
      <c r="D28" s="337" t="s">
        <v>1354</v>
      </c>
      <c r="E28" s="336" t="s">
        <v>153</v>
      </c>
      <c r="F28" s="337" t="s">
        <v>341</v>
      </c>
      <c r="G28" s="337" t="s">
        <v>341</v>
      </c>
      <c r="H28" s="337" t="s">
        <v>153</v>
      </c>
      <c r="I28" s="337" t="s">
        <v>153</v>
      </c>
      <c r="J28" s="337" t="s">
        <v>153</v>
      </c>
      <c r="K28" s="336" t="s">
        <v>751</v>
      </c>
      <c r="L28" s="337" t="str">
        <f>"KRW 0.5 million per child ("&amp;TEXT(500000/'Average wages'!B22,"0%")&amp;" of AW)"</f>
        <v>KRW 0.5 million per child (1% of AW)</v>
      </c>
      <c r="M28" s="338" t="s">
        <v>110</v>
      </c>
      <c r="N28" s="338">
        <v>0.01</v>
      </c>
      <c r="O28" s="349" t="str">
        <f>TEXT(21000000/'Average wages'!B22,"0%")&amp;" for single-earner households;
"&amp;TEXT(25000000/'Average wages'!B22,"0%")&amp;" for two-earner households"</f>
        <v>51% for single-earner households;
60% for two-earner households</v>
      </c>
      <c r="P28" s="468">
        <f>40000000/'Average wages'!B22</f>
        <v>0.96552533847456268</v>
      </c>
    </row>
    <row r="29" spans="1:16" ht="60" x14ac:dyDescent="0.2">
      <c r="A29" s="375" t="s">
        <v>80</v>
      </c>
      <c r="B29" s="376" t="s">
        <v>1039</v>
      </c>
      <c r="C29" s="377" t="s">
        <v>1265</v>
      </c>
      <c r="D29" s="490" t="s">
        <v>1355</v>
      </c>
      <c r="E29" s="377" t="s">
        <v>153</v>
      </c>
      <c r="F29" s="377" t="s">
        <v>1373</v>
      </c>
      <c r="G29" s="377" t="s">
        <v>153</v>
      </c>
      <c r="H29" s="377" t="s">
        <v>153</v>
      </c>
      <c r="I29" s="377" t="s">
        <v>153</v>
      </c>
      <c r="J29" s="377" t="str">
        <f>"Yes, "&amp;TEXT(100*4814/'Average wages'!B25,0)&amp;"% of AW"</f>
        <v>Yes, 10% of AW</v>
      </c>
      <c r="K29" s="376" t="s">
        <v>1394</v>
      </c>
      <c r="L29" s="377" t="str">
        <f>"EUR 2,133 ("&amp;TEXT(100*2133/'Average wages'!B25,0)&amp;"% of AW)"</f>
        <v>EUR 2,133 (4% of AW)</v>
      </c>
      <c r="M29" s="378">
        <v>0.04</v>
      </c>
      <c r="N29" s="377" t="s">
        <v>110</v>
      </c>
      <c r="O29" s="378" t="s">
        <v>110</v>
      </c>
      <c r="P29" s="289" t="s">
        <v>110</v>
      </c>
    </row>
    <row r="30" spans="1:16" ht="36" x14ac:dyDescent="0.2">
      <c r="A30" s="386"/>
      <c r="B30" s="379" t="s">
        <v>1041</v>
      </c>
      <c r="C30" s="380" t="s">
        <v>1265</v>
      </c>
      <c r="D30" s="387" t="s">
        <v>752</v>
      </c>
      <c r="E30" s="380" t="s">
        <v>153</v>
      </c>
      <c r="F30" s="380" t="s">
        <v>1374</v>
      </c>
      <c r="G30" s="380" t="s">
        <v>153</v>
      </c>
      <c r="H30" s="380" t="s">
        <v>153</v>
      </c>
      <c r="I30" s="380" t="s">
        <v>153</v>
      </c>
      <c r="J30" s="380" t="s">
        <v>153</v>
      </c>
      <c r="K30" s="379" t="s">
        <v>1395</v>
      </c>
      <c r="L30" s="380" t="str">
        <f>"EUR 1,319 ("&amp;TEXT(100*1319/'Average wages'!B25,0)&amp;"% of AW)"</f>
        <v>EUR 1,319 (3% of AW)</v>
      </c>
      <c r="M30" s="381">
        <v>4.2999999999999997E-2</v>
      </c>
      <c r="N30" s="380" t="s">
        <v>110</v>
      </c>
      <c r="O30" s="381" t="s">
        <v>110</v>
      </c>
      <c r="P30" s="498" t="s">
        <v>110</v>
      </c>
    </row>
    <row r="31" spans="1:16" ht="36" x14ac:dyDescent="0.2">
      <c r="A31" s="329" t="s">
        <v>262</v>
      </c>
      <c r="B31" s="396" t="s">
        <v>753</v>
      </c>
      <c r="C31" s="331" t="s">
        <v>570</v>
      </c>
      <c r="D31" s="331" t="s">
        <v>754</v>
      </c>
      <c r="E31" s="330" t="s">
        <v>153</v>
      </c>
      <c r="F31" s="452" t="s">
        <v>153</v>
      </c>
      <c r="G31" s="452" t="s">
        <v>153</v>
      </c>
      <c r="H31" s="452" t="s">
        <v>153</v>
      </c>
      <c r="I31" s="452" t="s">
        <v>153</v>
      </c>
      <c r="J31" s="452" t="s">
        <v>1391</v>
      </c>
      <c r="K31" s="330" t="s">
        <v>747</v>
      </c>
      <c r="L31" s="452" t="str">
        <f>"NZD 520 ("&amp;TEXT(520/'Average wages'!B26,"0%")&amp;" of AW)"</f>
        <v>NZD 520 (1% of AW)</v>
      </c>
      <c r="M31" s="452" t="s">
        <v>110</v>
      </c>
      <c r="N31" s="455">
        <v>0.13</v>
      </c>
      <c r="O31" s="364">
        <v>0.8</v>
      </c>
      <c r="P31" s="372">
        <v>0.88</v>
      </c>
    </row>
    <row r="32" spans="1:16" ht="96" x14ac:dyDescent="0.2">
      <c r="A32" s="348"/>
      <c r="B32" s="358" t="s">
        <v>653</v>
      </c>
      <c r="C32" s="337" t="s">
        <v>626</v>
      </c>
      <c r="D32" s="337" t="s">
        <v>1381</v>
      </c>
      <c r="E32" s="336" t="s">
        <v>153</v>
      </c>
      <c r="F32" s="337" t="s">
        <v>341</v>
      </c>
      <c r="G32" s="337" t="s">
        <v>153</v>
      </c>
      <c r="H32" s="337" t="s">
        <v>1380</v>
      </c>
      <c r="I32" s="337" t="s">
        <v>153</v>
      </c>
      <c r="J32" s="337" t="s">
        <v>153</v>
      </c>
      <c r="K32" s="336" t="s">
        <v>751</v>
      </c>
      <c r="L32" s="337" t="str">
        <f>"Ensures family income of NZD 22,776 ("&amp;TEXT(22776/'Average wages'!B26,"0%")&amp;" of AW) before Family Tax Credit and In-work tax credit"</f>
        <v>Ensures family income of NZD 22,776 (42% of AW) before Family Tax Credit and In-work tax credit</v>
      </c>
      <c r="M32" s="337" t="s">
        <v>110</v>
      </c>
      <c r="N32" s="29">
        <v>1</v>
      </c>
      <c r="O32" s="367" t="s">
        <v>110</v>
      </c>
      <c r="P32" s="368" t="s">
        <v>1407</v>
      </c>
    </row>
    <row r="33" spans="1:16" ht="108" x14ac:dyDescent="0.2">
      <c r="A33" s="348"/>
      <c r="B33" s="358" t="s">
        <v>655</v>
      </c>
      <c r="C33" s="337" t="s">
        <v>626</v>
      </c>
      <c r="D33" s="337" t="s">
        <v>1381</v>
      </c>
      <c r="E33" s="336" t="s">
        <v>153</v>
      </c>
      <c r="F33" s="337" t="s">
        <v>341</v>
      </c>
      <c r="G33" s="337" t="s">
        <v>153</v>
      </c>
      <c r="H33" s="337" t="str">
        <f>H32</f>
        <v>Yes, at least 20 hours per week for lone parents, combined 30 hours per week for couples</v>
      </c>
      <c r="I33" s="337" t="s">
        <v>153</v>
      </c>
      <c r="J33" s="337" t="s">
        <v>153</v>
      </c>
      <c r="K33" s="336" t="s">
        <v>751</v>
      </c>
      <c r="L33" s="337" t="str">
        <f>"NZD 3,120 ("&amp;TEXT(3120/'Average wages'!B26,"0%")&amp;" of AW)"</f>
        <v>NZD 3,120 (6% of AW)</v>
      </c>
      <c r="M33" s="337" t="s">
        <v>110</v>
      </c>
      <c r="N33" s="361">
        <v>0.21249999999999999</v>
      </c>
      <c r="O33" s="338" t="s">
        <v>779</v>
      </c>
      <c r="P33" s="509" t="s">
        <v>1016</v>
      </c>
    </row>
    <row r="34" spans="1:16" ht="36" x14ac:dyDescent="0.2">
      <c r="A34" s="221" t="s">
        <v>81</v>
      </c>
      <c r="B34" s="215" t="s">
        <v>1051</v>
      </c>
      <c r="C34" s="327" t="s">
        <v>734</v>
      </c>
      <c r="D34" s="327" t="s">
        <v>1356</v>
      </c>
      <c r="E34" s="215" t="s">
        <v>153</v>
      </c>
      <c r="F34" s="327" t="s">
        <v>341</v>
      </c>
      <c r="G34" s="327" t="s">
        <v>153</v>
      </c>
      <c r="H34" s="327" t="s">
        <v>1375</v>
      </c>
      <c r="I34" s="327" t="s">
        <v>153</v>
      </c>
      <c r="J34" s="327" t="s">
        <v>153</v>
      </c>
      <c r="K34" s="215" t="s">
        <v>747</v>
      </c>
      <c r="L34" s="327" t="str">
        <f>"NOK 198,883 ("&amp;TEXT(100*198883/'Average wages'!B27,0)&amp;"% of AW)"</f>
        <v>NOK 198,883 (37% of AW)</v>
      </c>
      <c r="M34" s="327" t="s">
        <v>110</v>
      </c>
      <c r="N34" s="360">
        <v>0.45</v>
      </c>
      <c r="O34" s="363">
        <f>44186/'Average wages'!B27</f>
        <v>8.2148281869037942E-2</v>
      </c>
      <c r="P34" s="373">
        <f>((198883+0.45*44185)/0.45)/'Average wages'!B27</f>
        <v>0.90381928757889229</v>
      </c>
    </row>
    <row r="35" spans="1:16" ht="144" x14ac:dyDescent="0.2">
      <c r="A35" s="342" t="s">
        <v>83</v>
      </c>
      <c r="B35" s="330" t="s">
        <v>780</v>
      </c>
      <c r="C35" s="331" t="s">
        <v>1337</v>
      </c>
      <c r="D35" s="452" t="s">
        <v>1357</v>
      </c>
      <c r="E35" s="330" t="s">
        <v>1370</v>
      </c>
      <c r="F35" s="452" t="s">
        <v>153</v>
      </c>
      <c r="G35" s="452" t="s">
        <v>153</v>
      </c>
      <c r="H35" s="452" t="s">
        <v>1386</v>
      </c>
      <c r="I35" s="452" t="s">
        <v>341</v>
      </c>
      <c r="J35" s="452" t="s">
        <v>153</v>
      </c>
      <c r="K35" s="330" t="s">
        <v>760</v>
      </c>
      <c r="L35" s="452" t="s">
        <v>1387</v>
      </c>
      <c r="M35" s="452" t="s">
        <v>110</v>
      </c>
      <c r="N35" s="452" t="s">
        <v>781</v>
      </c>
      <c r="O35" s="364">
        <v>0</v>
      </c>
      <c r="P35" s="350" t="s">
        <v>782</v>
      </c>
    </row>
    <row r="36" spans="1:16" ht="72" x14ac:dyDescent="0.2">
      <c r="A36" s="219"/>
      <c r="B36" s="333" t="s">
        <v>783</v>
      </c>
      <c r="C36" s="334" t="s">
        <v>1338</v>
      </c>
      <c r="D36" s="334" t="s">
        <v>1349</v>
      </c>
      <c r="E36" s="333" t="s">
        <v>1370</v>
      </c>
      <c r="F36" s="445" t="s">
        <v>153</v>
      </c>
      <c r="G36" s="445" t="s">
        <v>153</v>
      </c>
      <c r="H36" s="445" t="s">
        <v>153</v>
      </c>
      <c r="I36" s="445" t="s">
        <v>341</v>
      </c>
      <c r="J36" s="445" t="s">
        <v>153</v>
      </c>
      <c r="K36" s="333" t="s">
        <v>776</v>
      </c>
      <c r="L36" s="445" t="s">
        <v>1400</v>
      </c>
      <c r="M36" s="445" t="s">
        <v>110</v>
      </c>
      <c r="N36" s="445" t="s">
        <v>784</v>
      </c>
      <c r="O36" s="370">
        <v>0</v>
      </c>
      <c r="P36" s="359" t="s">
        <v>110</v>
      </c>
    </row>
    <row r="37" spans="1:16" ht="72" x14ac:dyDescent="0.2">
      <c r="A37" s="329" t="s">
        <v>84</v>
      </c>
      <c r="B37" s="330" t="s">
        <v>757</v>
      </c>
      <c r="C37" s="331" t="s">
        <v>570</v>
      </c>
      <c r="D37" s="331" t="s">
        <v>1350</v>
      </c>
      <c r="E37" s="330" t="s">
        <v>153</v>
      </c>
      <c r="F37" s="452" t="s">
        <v>153</v>
      </c>
      <c r="G37" s="452" t="s">
        <v>153</v>
      </c>
      <c r="H37" s="452" t="s">
        <v>153</v>
      </c>
      <c r="I37" s="452" t="s">
        <v>153</v>
      </c>
      <c r="J37" s="441" t="str">
        <f>"Yes, six times the monthly minimum wage ("&amp;TEXT(352*6/'Average wages'!B30,"0%")&amp;" of AW)"</f>
        <v>Yes, six times the monthly minimum wage (20% of AW)</v>
      </c>
      <c r="K37" s="330" t="s">
        <v>760</v>
      </c>
      <c r="L37" s="452" t="str">
        <f>"EUR "&amp;TEXT((3803.33-3658.08)*0.19,0)&amp;"/year ("&amp;TEXT(100*(3803.33-3658.08)*0.19/'Average wages'!B30,"0.#")&amp;"% of AW)"</f>
        <v>EUR 28/year (0.3% of AW)</v>
      </c>
      <c r="M37" s="452" t="s">
        <v>110</v>
      </c>
      <c r="N37" s="455">
        <v>0.19</v>
      </c>
      <c r="O37" s="332">
        <f>352*12/'Average wages'!B30</f>
        <v>0.40528248880291984</v>
      </c>
      <c r="P37" s="372" t="s">
        <v>110</v>
      </c>
    </row>
    <row r="38" spans="1:16" ht="72" x14ac:dyDescent="0.2">
      <c r="A38" s="348"/>
      <c r="B38" s="336" t="s">
        <v>638</v>
      </c>
      <c r="C38" s="337" t="s">
        <v>661</v>
      </c>
      <c r="D38" s="337" t="s">
        <v>748</v>
      </c>
      <c r="E38" s="336" t="s">
        <v>153</v>
      </c>
      <c r="F38" s="337" t="s">
        <v>341</v>
      </c>
      <c r="G38" s="337" t="s">
        <v>341</v>
      </c>
      <c r="H38" s="337" t="s">
        <v>153</v>
      </c>
      <c r="I38" s="337" t="s">
        <v>153</v>
      </c>
      <c r="J38" s="457" t="str">
        <f>J37</f>
        <v>Yes, six times the monthly minimum wage (20% of AW)</v>
      </c>
      <c r="K38" s="336" t="s">
        <v>785</v>
      </c>
      <c r="L38" s="337" t="str">
        <f>"EUR 21.22/month ("&amp;TEXT(100*21.22*12/'Average wages'!B30,"0")&amp;"% of AW)"</f>
        <v>EUR 21.22/month (2% of AW)</v>
      </c>
      <c r="M38" s="337" t="s">
        <v>110</v>
      </c>
      <c r="N38" s="29" t="s">
        <v>110</v>
      </c>
      <c r="O38" s="367" t="s">
        <v>110</v>
      </c>
      <c r="P38" s="368" t="s">
        <v>110</v>
      </c>
    </row>
    <row r="39" spans="1:16" ht="48" x14ac:dyDescent="0.2">
      <c r="A39" s="348"/>
      <c r="B39" s="336" t="s">
        <v>1360</v>
      </c>
      <c r="C39" s="337" t="s">
        <v>1359</v>
      </c>
      <c r="D39" s="337" t="s">
        <v>1358</v>
      </c>
      <c r="E39" s="336" t="s">
        <v>153</v>
      </c>
      <c r="F39" s="337" t="s">
        <v>153</v>
      </c>
      <c r="G39" s="337" t="s">
        <v>153</v>
      </c>
      <c r="H39" s="337" t="s">
        <v>787</v>
      </c>
      <c r="I39" s="337" t="s">
        <v>341</v>
      </c>
      <c r="J39" s="337" t="str">
        <f>"Yes, minimum wage ("&amp;TEXT(100*352*12/'Average wages'!B30,0)&amp;"% of AW)"</f>
        <v>Yes, minimum wage (41% of AW)</v>
      </c>
      <c r="K39" s="336" t="s">
        <v>764</v>
      </c>
      <c r="L39" s="337" t="str">
        <f>"EUR 63.07/month ("&amp;TEXT(100*63.07*12/'Average wages'!B30,0)&amp;"% of AW)"</f>
        <v>EUR 63.07/month (7% of AW)</v>
      </c>
      <c r="M39" s="337" t="s">
        <v>110</v>
      </c>
      <c r="N39" s="456">
        <v>0.75</v>
      </c>
      <c r="O39" s="367">
        <v>0</v>
      </c>
      <c r="P39" s="368" t="s">
        <v>110</v>
      </c>
    </row>
    <row r="40" spans="1:16" ht="48" x14ac:dyDescent="0.2">
      <c r="A40" s="348"/>
      <c r="B40" s="336" t="s">
        <v>1361</v>
      </c>
      <c r="C40" s="337" t="s">
        <v>1338</v>
      </c>
      <c r="D40" s="337" t="s">
        <v>1349</v>
      </c>
      <c r="E40" s="336" t="s">
        <v>1362</v>
      </c>
      <c r="F40" s="337" t="s">
        <v>153</v>
      </c>
      <c r="G40" s="337" t="s">
        <v>153</v>
      </c>
      <c r="H40" s="337" t="s">
        <v>787</v>
      </c>
      <c r="I40" s="337" t="s">
        <v>341</v>
      </c>
      <c r="J40" s="337" t="str">
        <f>J39</f>
        <v>Yes, minimum wage (41% of AW)</v>
      </c>
      <c r="K40" s="336" t="s">
        <v>760</v>
      </c>
      <c r="L40" s="337" t="str">
        <f>L39</f>
        <v>EUR 63.07/month (7% of AW)</v>
      </c>
      <c r="M40" s="337" t="s">
        <v>110</v>
      </c>
      <c r="N40" s="456" t="s">
        <v>1363</v>
      </c>
      <c r="O40" s="367">
        <f>352*3*12/'Average wages'!B30</f>
        <v>1.2158474664087595</v>
      </c>
      <c r="P40" s="368">
        <f>O40</f>
        <v>1.2158474664087595</v>
      </c>
    </row>
    <row r="41" spans="1:16" ht="84" x14ac:dyDescent="0.2">
      <c r="A41" s="220"/>
      <c r="B41" s="333" t="s">
        <v>788</v>
      </c>
      <c r="C41" s="334" t="s">
        <v>749</v>
      </c>
      <c r="D41" s="334" t="s">
        <v>1351</v>
      </c>
      <c r="E41" s="333" t="s">
        <v>341</v>
      </c>
      <c r="F41" s="445" t="s">
        <v>153</v>
      </c>
      <c r="G41" s="445" t="s">
        <v>153</v>
      </c>
      <c r="H41" s="445" t="s">
        <v>787</v>
      </c>
      <c r="I41" s="445" t="s">
        <v>341</v>
      </c>
      <c r="J41" s="445" t="s">
        <v>153</v>
      </c>
      <c r="K41" s="333" t="s">
        <v>393</v>
      </c>
      <c r="L41" s="445" t="s">
        <v>789</v>
      </c>
      <c r="M41" s="445" t="s">
        <v>110</v>
      </c>
      <c r="N41" s="94" t="s">
        <v>110</v>
      </c>
      <c r="O41" s="340" t="s">
        <v>110</v>
      </c>
      <c r="P41" s="341" t="s">
        <v>110</v>
      </c>
    </row>
    <row r="42" spans="1:16" ht="240" x14ac:dyDescent="0.2">
      <c r="A42" s="444" t="s">
        <v>85</v>
      </c>
      <c r="B42" s="333" t="s">
        <v>790</v>
      </c>
      <c r="C42" s="334" t="s">
        <v>1340</v>
      </c>
      <c r="D42" s="334" t="s">
        <v>1358</v>
      </c>
      <c r="E42" s="333" t="s">
        <v>153</v>
      </c>
      <c r="F42" s="445" t="s">
        <v>153</v>
      </c>
      <c r="G42" s="445" t="s">
        <v>153</v>
      </c>
      <c r="H42" s="446" t="s">
        <v>1382</v>
      </c>
      <c r="I42" s="445" t="s">
        <v>153</v>
      </c>
      <c r="J42" s="445" t="s">
        <v>153</v>
      </c>
      <c r="K42" s="333" t="s">
        <v>764</v>
      </c>
      <c r="L42" s="445" t="str">
        <f>"First adult: EUR 83.81 per month ("&amp;TEXT(100*83.81*12/'Average wages'!B31,0)&amp;"% of AW) if working 60-128 hours per month, EUR 166.62 per month ("&amp;TEXT(100*166.62*12/'Average wages'!B31,0)&amp;"% of AW) if working more than 128 hours per month.
Second adult: EUR 41.66 per month ("&amp;TEXT(100*41.66*12/'Average wages'!B31,0)&amp;"% of AW) if working 60-128 hours per month, EUR 83.81 per month ("&amp;TEXT(100*83.81*12/'Average wages'!B31,0)&amp;"% of AW) if working more than 128 hours per month."</f>
        <v>First adult: EUR 83.81 per month (6% of AW) if working 60-128 hours per month, EUR 166.62 per month (11% of AW) if working more than 128 hours per month.
Second adult: EUR 41.66 per month (3% of AW) if working 60-128 hours per month, EUR 83.81 per month (6% of AW) if working more than 128 hours per month.</v>
      </c>
      <c r="M42" s="445" t="s">
        <v>110</v>
      </c>
      <c r="N42" s="362">
        <v>1</v>
      </c>
      <c r="O42" s="370">
        <v>0</v>
      </c>
      <c r="P42" s="341">
        <f>5208/'Average wages'!B31</f>
        <v>0.29017160686427457</v>
      </c>
    </row>
    <row r="43" spans="1:16" ht="72" x14ac:dyDescent="0.2">
      <c r="A43" s="351" t="s">
        <v>86</v>
      </c>
      <c r="B43" s="330" t="s">
        <v>758</v>
      </c>
      <c r="C43" s="331" t="s">
        <v>643</v>
      </c>
      <c r="D43" s="331" t="s">
        <v>741</v>
      </c>
      <c r="E43" s="330" t="s">
        <v>153</v>
      </c>
      <c r="F43" s="452" t="s">
        <v>153</v>
      </c>
      <c r="G43" s="452" t="s">
        <v>153</v>
      </c>
      <c r="H43" s="452" t="s">
        <v>153</v>
      </c>
      <c r="I43" s="452" t="s">
        <v>153</v>
      </c>
      <c r="J43" s="452" t="s">
        <v>153</v>
      </c>
      <c r="K43" s="330" t="s">
        <v>743</v>
      </c>
      <c r="L43" s="452" t="str">
        <f>"EUR 4,080 ("&amp;TEXT(4080/'Average wages'!B32,"0%")&amp;" of AW)"</f>
        <v>EUR 4,080 (16% of AW)</v>
      </c>
      <c r="M43" s="452" t="s">
        <v>110</v>
      </c>
      <c r="N43" s="452" t="str">
        <f>"35%, but withdrawal stops at an income level of EUR 13,260 ("&amp;TEXT(13260/'Average wages'!B32,"0%")&amp;" of AW)"</f>
        <v>35%, but withdrawal stops at an income level of EUR 13,260 (51% of AW)</v>
      </c>
      <c r="O43" s="148">
        <f>9180/'Average wages'!B32</f>
        <v>0.35050502505080033</v>
      </c>
      <c r="P43" s="350" t="s">
        <v>791</v>
      </c>
    </row>
    <row r="44" spans="1:16" ht="24" x14ac:dyDescent="0.2">
      <c r="A44" s="220"/>
      <c r="B44" s="333" t="s">
        <v>759</v>
      </c>
      <c r="C44" s="334" t="s">
        <v>626</v>
      </c>
      <c r="D44" s="334" t="s">
        <v>741</v>
      </c>
      <c r="E44" s="333" t="s">
        <v>153</v>
      </c>
      <c r="F44" s="445" t="s">
        <v>153</v>
      </c>
      <c r="G44" s="445" t="s">
        <v>153</v>
      </c>
      <c r="H44" s="445" t="s">
        <v>153</v>
      </c>
      <c r="I44" s="445" t="s">
        <v>153</v>
      </c>
      <c r="J44" s="445" t="s">
        <v>153</v>
      </c>
      <c r="K44" s="333" t="s">
        <v>743</v>
      </c>
      <c r="L44" s="445" t="str">
        <f>"EUR 4,000 ("&amp;TEXT(4000/'Average wages'!B32,"0%")&amp;" of AW)"</f>
        <v>EUR 4,000 (15% of AW)</v>
      </c>
      <c r="M44" s="445" t="s">
        <v>110</v>
      </c>
      <c r="N44" s="362">
        <v>0.1</v>
      </c>
      <c r="O44" s="370">
        <f>8000/'Average wages'!B32</f>
        <v>0.30545100222291971</v>
      </c>
      <c r="P44" s="371">
        <v>0.61</v>
      </c>
    </row>
    <row r="45" spans="1:16" ht="60" x14ac:dyDescent="0.2">
      <c r="A45" s="388" t="s">
        <v>87</v>
      </c>
      <c r="B45" s="382" t="s">
        <v>740</v>
      </c>
      <c r="C45" s="389" t="s">
        <v>661</v>
      </c>
      <c r="D45" s="389" t="s">
        <v>741</v>
      </c>
      <c r="E45" s="382" t="s">
        <v>153</v>
      </c>
      <c r="F45" s="389" t="s">
        <v>153</v>
      </c>
      <c r="G45" s="389" t="s">
        <v>153</v>
      </c>
      <c r="H45" s="389" t="s">
        <v>153</v>
      </c>
      <c r="I45" s="389" t="s">
        <v>153</v>
      </c>
      <c r="J45" s="389" t="s">
        <v>153</v>
      </c>
      <c r="K45" s="382" t="s">
        <v>760</v>
      </c>
      <c r="L45" s="389" t="str">
        <f>"Depends on local tax rate, at average local tax rate approximately SEK 26,311 ("&amp;TEXT(26311*100/'Average wages'!B33,0)&amp;"% of AW)"</f>
        <v>Depends on local tax rate, at average local tax rate approximately SEK 26,311 (6% of AW)</v>
      </c>
      <c r="M45" s="389" t="s">
        <v>1008</v>
      </c>
      <c r="N45" s="389" t="s">
        <v>110</v>
      </c>
      <c r="O45" s="72" t="str">
        <f>"Maximum of tax credit reached at "&amp;TEXT(8.08*44400*100/'Average wages'!B33,0)&amp;"% of AW, no phase-out"</f>
        <v>Maximum of tax credit reached at 88% of AW, no phase-out</v>
      </c>
      <c r="P45" s="497" t="s">
        <v>110</v>
      </c>
    </row>
    <row r="46" spans="1:16" ht="84" x14ac:dyDescent="0.2">
      <c r="A46" s="444" t="s">
        <v>88</v>
      </c>
      <c r="B46" s="333" t="s">
        <v>758</v>
      </c>
      <c r="C46" s="445" t="s">
        <v>643</v>
      </c>
      <c r="D46" s="445" t="s">
        <v>741</v>
      </c>
      <c r="E46" s="333" t="s">
        <v>153</v>
      </c>
      <c r="F46" s="445" t="s">
        <v>153</v>
      </c>
      <c r="G46" s="445" t="s">
        <v>153</v>
      </c>
      <c r="H46" s="445" t="s">
        <v>153</v>
      </c>
      <c r="I46" s="445" t="s">
        <v>153</v>
      </c>
      <c r="J46" s="445" t="s">
        <v>153</v>
      </c>
      <c r="K46" s="333" t="s">
        <v>761</v>
      </c>
      <c r="L46" s="445" t="str">
        <f>"CHF 4,000 ("&amp;TEXT(4000/'Average wages'!B34,"0%")&amp;" of AW)"</f>
        <v>CHF 4,000 (5% of AW)</v>
      </c>
      <c r="M46" s="362">
        <v>0.03</v>
      </c>
      <c r="N46" s="445" t="s">
        <v>110</v>
      </c>
      <c r="O46" s="340" t="str">
        <f>"Maximum tax allowance reached at  "&amp;TEXT(154539/'Average wages'!B34,"0%")&amp;" of AW, no phase-out"</f>
        <v>Maximum tax allowance reached at  178% of AW, no phase-out</v>
      </c>
      <c r="P46" s="341" t="s">
        <v>110</v>
      </c>
    </row>
    <row r="47" spans="1:16" ht="204" x14ac:dyDescent="0.2">
      <c r="A47" s="376" t="s">
        <v>338</v>
      </c>
      <c r="B47" s="397" t="s">
        <v>756</v>
      </c>
      <c r="C47" s="384" t="s">
        <v>734</v>
      </c>
      <c r="D47" s="384" t="s">
        <v>1344</v>
      </c>
      <c r="E47" s="383" t="s">
        <v>153</v>
      </c>
      <c r="F47" s="384" t="s">
        <v>153</v>
      </c>
      <c r="G47" s="384" t="s">
        <v>153</v>
      </c>
      <c r="H47" s="384" t="s">
        <v>1383</v>
      </c>
      <c r="I47" s="384" t="s">
        <v>153</v>
      </c>
      <c r="J47" s="384" t="s">
        <v>153</v>
      </c>
      <c r="K47" s="383" t="s">
        <v>755</v>
      </c>
      <c r="L47" s="384" t="str">
        <f>"GBP 4,730 ("&amp;TEXT(4730*100/'Average wages'!B36,0)&amp;"% of AW)"</f>
        <v>GBP 4,730 (13% of AW)</v>
      </c>
      <c r="M47" s="385" t="s">
        <v>110</v>
      </c>
      <c r="N47" s="79">
        <v>0.41</v>
      </c>
      <c r="O47" s="391">
        <f>6420/'Average wages'!B36</f>
        <v>0.18280182232346243</v>
      </c>
      <c r="P47" s="468">
        <f>13103/'Average wages'!B36</f>
        <v>0.37309225512528471</v>
      </c>
    </row>
    <row r="48" spans="1:16" ht="120" x14ac:dyDescent="0.2">
      <c r="A48" s="330" t="s">
        <v>731</v>
      </c>
      <c r="B48" s="215" t="s">
        <v>792</v>
      </c>
      <c r="C48" s="327" t="s">
        <v>570</v>
      </c>
      <c r="D48" s="327" t="s">
        <v>1368</v>
      </c>
      <c r="E48" s="215" t="s">
        <v>153</v>
      </c>
      <c r="F48" s="327" t="s">
        <v>153</v>
      </c>
      <c r="G48" s="327" t="s">
        <v>341</v>
      </c>
      <c r="H48" s="327" t="s">
        <v>153</v>
      </c>
      <c r="I48" s="327" t="s">
        <v>153</v>
      </c>
      <c r="J48" s="327" t="s">
        <v>153</v>
      </c>
      <c r="K48" s="215" t="s">
        <v>776</v>
      </c>
      <c r="L48" s="327" t="str">
        <f>"USD 6,480 ("&amp;TEXT(100*6480/'Average wages'!B37,0)&amp;"% of AW) without children;
USD 9,720 ("&amp;TEXT(100*9720/'Average wages'!B37,0)&amp;"% of AW with one child;
USD 13,650 ("&amp;TEXT(100*13650/'Average wages'!B37,0)&amp;"% of AW) with 2 more children"</f>
        <v>USD 6,480 (13% of AW) without children;
USD 9,720 (19% of AW with one child;
USD 13,650 (27% of AW) with 2 more children</v>
      </c>
      <c r="M48" s="327" t="s">
        <v>1404</v>
      </c>
      <c r="N48" s="327" t="s">
        <v>1405</v>
      </c>
      <c r="O48" s="363">
        <f>8110/'Average wages'!B37</f>
        <v>0.16187964019205991</v>
      </c>
      <c r="P48" s="373">
        <f>14590/'Average wages'!B37</f>
        <v>0.29122366836031494</v>
      </c>
    </row>
    <row r="49" spans="1:16" x14ac:dyDescent="0.2">
      <c r="A49" s="330"/>
      <c r="B49" s="330"/>
      <c r="C49" s="331"/>
      <c r="D49" s="331"/>
      <c r="E49" s="330"/>
      <c r="F49" s="452"/>
      <c r="G49" s="452"/>
      <c r="H49" s="452"/>
      <c r="I49" s="452"/>
      <c r="J49" s="452"/>
      <c r="K49" s="330"/>
      <c r="L49" s="452"/>
      <c r="M49" s="452"/>
      <c r="N49" s="452"/>
      <c r="O49" s="364"/>
      <c r="P49" s="372"/>
    </row>
    <row r="50" spans="1:16" ht="24" x14ac:dyDescent="0.2">
      <c r="A50" s="352" t="s">
        <v>92</v>
      </c>
      <c r="B50" s="353"/>
      <c r="C50" s="354"/>
      <c r="D50" s="354"/>
      <c r="E50" s="353"/>
      <c r="F50" s="354"/>
      <c r="G50" s="354"/>
      <c r="H50" s="354"/>
      <c r="I50" s="354"/>
      <c r="J50" s="354"/>
      <c r="K50" s="353"/>
      <c r="L50" s="354"/>
      <c r="M50" s="354"/>
      <c r="N50" s="354"/>
      <c r="O50" s="354"/>
      <c r="P50" s="355"/>
    </row>
    <row r="51" spans="1:16" ht="60" x14ac:dyDescent="0.2">
      <c r="A51" s="388" t="s">
        <v>93</v>
      </c>
      <c r="B51" s="382" t="s">
        <v>749</v>
      </c>
      <c r="C51" s="389" t="s">
        <v>749</v>
      </c>
      <c r="D51" s="389" t="s">
        <v>1364</v>
      </c>
      <c r="E51" s="382" t="s">
        <v>341</v>
      </c>
      <c r="F51" s="389" t="s">
        <v>153</v>
      </c>
      <c r="G51" s="389" t="s">
        <v>153</v>
      </c>
      <c r="H51" s="389" t="s">
        <v>1384</v>
      </c>
      <c r="I51" s="389" t="s">
        <v>341</v>
      </c>
      <c r="J51" s="389" t="s">
        <v>153</v>
      </c>
      <c r="K51" s="382" t="s">
        <v>393</v>
      </c>
      <c r="L51" s="389" t="s">
        <v>793</v>
      </c>
      <c r="M51" s="389" t="s">
        <v>110</v>
      </c>
      <c r="N51" s="389" t="s">
        <v>110</v>
      </c>
      <c r="O51" s="392" t="s">
        <v>110</v>
      </c>
      <c r="P51" s="393" t="s">
        <v>110</v>
      </c>
    </row>
    <row r="52" spans="1:16" ht="84" x14ac:dyDescent="0.2">
      <c r="A52" s="297" t="s">
        <v>97</v>
      </c>
      <c r="B52" s="376" t="s">
        <v>812</v>
      </c>
      <c r="C52" s="377" t="s">
        <v>749</v>
      </c>
      <c r="D52" s="377" t="s">
        <v>1351</v>
      </c>
      <c r="E52" s="376" t="s">
        <v>341</v>
      </c>
      <c r="F52" s="377" t="s">
        <v>153</v>
      </c>
      <c r="G52" s="377" t="s">
        <v>153</v>
      </c>
      <c r="H52" s="377" t="s">
        <v>787</v>
      </c>
      <c r="I52" s="377" t="s">
        <v>341</v>
      </c>
      <c r="J52" s="377" t="s">
        <v>153</v>
      </c>
      <c r="K52" s="376" t="s">
        <v>393</v>
      </c>
      <c r="L52" s="377" t="s">
        <v>794</v>
      </c>
      <c r="M52" s="377" t="s">
        <v>110</v>
      </c>
      <c r="N52" s="377" t="s">
        <v>110</v>
      </c>
      <c r="O52" s="378" t="s">
        <v>110</v>
      </c>
      <c r="P52" s="289" t="s">
        <v>110</v>
      </c>
    </row>
    <row r="53" spans="1:16" ht="84" x14ac:dyDescent="0.2">
      <c r="A53" s="303"/>
      <c r="B53" s="379" t="s">
        <v>795</v>
      </c>
      <c r="C53" s="380" t="s">
        <v>749</v>
      </c>
      <c r="D53" s="380" t="s">
        <v>1369</v>
      </c>
      <c r="E53" s="379" t="s">
        <v>1372</v>
      </c>
      <c r="F53" s="380" t="s">
        <v>153</v>
      </c>
      <c r="G53" s="380" t="s">
        <v>341</v>
      </c>
      <c r="H53" s="380" t="s">
        <v>153</v>
      </c>
      <c r="I53" s="380" t="s">
        <v>341</v>
      </c>
      <c r="J53" s="380" t="s">
        <v>1390</v>
      </c>
      <c r="K53" s="379" t="s">
        <v>796</v>
      </c>
      <c r="L53" s="380" t="s">
        <v>797</v>
      </c>
      <c r="M53" s="380" t="s">
        <v>110</v>
      </c>
      <c r="N53" s="380" t="s">
        <v>110</v>
      </c>
      <c r="O53" s="381" t="s">
        <v>110</v>
      </c>
      <c r="P53" s="498" t="s">
        <v>110</v>
      </c>
    </row>
    <row r="54" spans="1:16" x14ac:dyDescent="0.2">
      <c r="A54" s="188"/>
      <c r="B54" s="188"/>
      <c r="C54" s="188"/>
      <c r="D54" s="188"/>
      <c r="E54" s="188"/>
      <c r="F54" s="188"/>
      <c r="G54" s="188"/>
      <c r="H54" s="188"/>
      <c r="I54" s="188"/>
      <c r="J54" s="188"/>
      <c r="K54" s="188"/>
      <c r="L54" s="188"/>
      <c r="M54" s="188"/>
      <c r="N54" s="188"/>
      <c r="O54" s="188"/>
      <c r="P54" s="188"/>
    </row>
    <row r="55" spans="1:16" x14ac:dyDescent="0.2">
      <c r="A55" s="356" t="s">
        <v>98</v>
      </c>
      <c r="B55" s="188"/>
      <c r="C55" s="188"/>
      <c r="D55" s="188"/>
      <c r="E55" s="188"/>
      <c r="F55" s="188"/>
      <c r="G55" s="188"/>
      <c r="H55" s="188"/>
      <c r="I55" s="188"/>
      <c r="J55" s="188"/>
      <c r="K55" s="188"/>
      <c r="L55" s="188"/>
      <c r="M55" s="188"/>
      <c r="N55" s="188"/>
      <c r="O55" s="188"/>
      <c r="P55" s="188"/>
    </row>
    <row r="56" spans="1:16" x14ac:dyDescent="0.2">
      <c r="A56" s="188" t="s">
        <v>898</v>
      </c>
      <c r="B56" s="188"/>
      <c r="C56" s="188"/>
      <c r="D56" s="188"/>
      <c r="E56" s="188"/>
      <c r="F56" s="188"/>
      <c r="G56" s="188"/>
      <c r="H56" s="188"/>
      <c r="I56" s="188"/>
      <c r="J56" s="188"/>
      <c r="K56" s="188"/>
      <c r="L56" s="188"/>
      <c r="M56" s="188"/>
      <c r="N56" s="188"/>
      <c r="O56" s="188"/>
      <c r="P56" s="188"/>
    </row>
    <row r="57" spans="1:16" x14ac:dyDescent="0.2">
      <c r="A57" s="188" t="str">
        <f>'Unemployment Insurance'!A53</f>
        <v>1. "n.a." equals not applicable, "..." equals no information available.</v>
      </c>
      <c r="B57" s="188"/>
      <c r="C57" s="188"/>
      <c r="D57" s="188"/>
      <c r="E57" s="188"/>
      <c r="F57" s="188"/>
      <c r="G57" s="188"/>
      <c r="H57" s="188"/>
      <c r="I57" s="188"/>
      <c r="J57" s="188"/>
      <c r="K57" s="188"/>
      <c r="L57" s="188"/>
      <c r="M57" s="188"/>
      <c r="N57" s="188"/>
      <c r="O57" s="188"/>
      <c r="P57" s="188"/>
    </row>
    <row r="58" spans="1:16" x14ac:dyDescent="0.2">
      <c r="A58" s="188" t="s">
        <v>798</v>
      </c>
      <c r="B58" s="357"/>
      <c r="C58" s="357"/>
      <c r="D58" s="188"/>
      <c r="E58" s="188"/>
      <c r="F58" s="188"/>
      <c r="G58" s="188"/>
      <c r="H58" s="188"/>
      <c r="I58" s="188"/>
      <c r="J58" s="188"/>
      <c r="K58" s="188"/>
      <c r="L58" s="188"/>
      <c r="M58" s="188"/>
      <c r="N58" s="188"/>
      <c r="O58" s="188"/>
      <c r="P58" s="188"/>
    </row>
    <row r="59" spans="1:16" x14ac:dyDescent="0.2">
      <c r="A59" s="346" t="s">
        <v>799</v>
      </c>
      <c r="B59" s="357"/>
      <c r="C59" s="357"/>
      <c r="D59" s="188"/>
      <c r="E59" s="188"/>
      <c r="F59" s="188"/>
      <c r="G59" s="188"/>
      <c r="H59" s="188"/>
      <c r="I59" s="188"/>
      <c r="J59" s="188"/>
      <c r="K59" s="188"/>
      <c r="L59" s="188"/>
      <c r="M59" s="188"/>
      <c r="N59" s="188"/>
      <c r="O59" s="188"/>
      <c r="P59" s="188"/>
    </row>
    <row r="60" spans="1:16" x14ac:dyDescent="0.2">
      <c r="A60" s="188" t="s">
        <v>800</v>
      </c>
      <c r="B60" s="357"/>
      <c r="C60" s="357"/>
      <c r="D60" s="188"/>
      <c r="E60" s="188"/>
      <c r="F60" s="188"/>
      <c r="G60" s="188"/>
      <c r="H60" s="188"/>
      <c r="I60" s="188"/>
      <c r="J60" s="188"/>
      <c r="K60" s="188"/>
      <c r="L60" s="188"/>
      <c r="M60" s="188"/>
      <c r="N60" s="188"/>
      <c r="O60" s="188"/>
      <c r="P60" s="188"/>
    </row>
    <row r="61" spans="1:16" x14ac:dyDescent="0.2">
      <c r="A61" s="188" t="s">
        <v>801</v>
      </c>
      <c r="B61" s="357"/>
      <c r="C61" s="357"/>
      <c r="D61" s="188"/>
      <c r="E61" s="188"/>
      <c r="F61" s="188"/>
      <c r="G61" s="188"/>
      <c r="H61" s="188"/>
      <c r="I61" s="188"/>
      <c r="J61" s="188"/>
      <c r="K61" s="188"/>
      <c r="L61" s="188"/>
      <c r="M61" s="188"/>
      <c r="N61" s="188"/>
      <c r="O61" s="188"/>
      <c r="P61" s="188"/>
    </row>
    <row r="62" spans="1:16" x14ac:dyDescent="0.2">
      <c r="A62" s="188" t="s">
        <v>802</v>
      </c>
      <c r="B62" s="357"/>
      <c r="C62" s="357"/>
      <c r="D62" s="188"/>
      <c r="E62" s="188"/>
      <c r="F62" s="188"/>
      <c r="G62" s="188"/>
      <c r="H62" s="188"/>
      <c r="I62" s="188"/>
      <c r="J62" s="188"/>
      <c r="K62" s="188"/>
      <c r="L62" s="188"/>
      <c r="M62" s="188"/>
      <c r="N62" s="188"/>
      <c r="O62" s="188"/>
      <c r="P62" s="188"/>
    </row>
    <row r="63" spans="1:16" x14ac:dyDescent="0.2">
      <c r="A63" s="188" t="s">
        <v>803</v>
      </c>
      <c r="B63" s="357"/>
      <c r="C63" s="357"/>
      <c r="D63" s="188"/>
      <c r="E63" s="188"/>
      <c r="F63" s="188"/>
      <c r="G63" s="188"/>
      <c r="H63" s="188"/>
      <c r="I63" s="188"/>
      <c r="J63" s="188"/>
      <c r="K63" s="188"/>
      <c r="L63" s="188"/>
      <c r="M63" s="188"/>
      <c r="N63" s="188"/>
      <c r="O63" s="188"/>
      <c r="P63" s="188"/>
    </row>
    <row r="64" spans="1:16" x14ac:dyDescent="0.2">
      <c r="A64" s="188" t="s">
        <v>804</v>
      </c>
      <c r="B64" s="357"/>
      <c r="C64" s="357"/>
      <c r="D64" s="188"/>
      <c r="E64" s="188"/>
      <c r="F64" s="188"/>
      <c r="G64" s="188"/>
      <c r="H64" s="188"/>
      <c r="I64" s="188"/>
      <c r="J64" s="188"/>
      <c r="K64" s="188"/>
      <c r="L64" s="188"/>
      <c r="M64" s="188"/>
      <c r="N64" s="188"/>
      <c r="O64" s="188"/>
      <c r="P64" s="188"/>
    </row>
    <row r="65" spans="1:16" x14ac:dyDescent="0.2">
      <c r="A65" s="188" t="s">
        <v>805</v>
      </c>
      <c r="B65" s="357"/>
      <c r="C65" s="357"/>
      <c r="D65" s="188"/>
      <c r="E65" s="188"/>
      <c r="F65" s="188"/>
      <c r="G65" s="188"/>
      <c r="H65" s="188"/>
      <c r="I65" s="188"/>
      <c r="J65" s="188"/>
      <c r="K65" s="188"/>
      <c r="L65" s="188"/>
      <c r="M65" s="188"/>
      <c r="N65" s="188"/>
      <c r="O65" s="188"/>
      <c r="P65" s="188"/>
    </row>
    <row r="66" spans="1:16" x14ac:dyDescent="0.2">
      <c r="A66" s="188" t="s">
        <v>806</v>
      </c>
      <c r="B66" s="357"/>
      <c r="C66" s="357"/>
      <c r="D66" s="188"/>
      <c r="E66" s="188"/>
      <c r="F66" s="188"/>
      <c r="G66" s="188"/>
      <c r="H66" s="188"/>
      <c r="I66" s="188"/>
      <c r="J66" s="188"/>
      <c r="K66" s="188"/>
      <c r="L66" s="188"/>
      <c r="M66" s="188"/>
      <c r="N66" s="188"/>
      <c r="O66" s="188"/>
      <c r="P66" s="188"/>
    </row>
    <row r="67" spans="1:16" x14ac:dyDescent="0.2">
      <c r="A67" s="188" t="s">
        <v>807</v>
      </c>
      <c r="B67" s="357"/>
      <c r="C67" s="357"/>
      <c r="D67" s="188"/>
      <c r="E67" s="188"/>
      <c r="F67" s="188"/>
      <c r="G67" s="188"/>
      <c r="H67" s="188"/>
      <c r="I67" s="188"/>
      <c r="J67" s="188"/>
      <c r="K67" s="188"/>
      <c r="L67" s="188"/>
      <c r="M67" s="188"/>
      <c r="N67" s="188"/>
      <c r="O67" s="188"/>
      <c r="P67" s="188"/>
    </row>
    <row r="68" spans="1:16" x14ac:dyDescent="0.2">
      <c r="A68" s="346"/>
      <c r="B68" s="188"/>
      <c r="C68" s="188"/>
      <c r="D68" s="188"/>
      <c r="E68" s="188"/>
      <c r="F68" s="188"/>
      <c r="G68" s="188"/>
      <c r="H68" s="188"/>
      <c r="I68" s="188"/>
      <c r="J68" s="188"/>
      <c r="K68" s="188"/>
      <c r="L68" s="188"/>
      <c r="M68" s="188"/>
      <c r="N68" s="188"/>
      <c r="O68" s="188"/>
      <c r="P68" s="188"/>
    </row>
    <row r="69" spans="1:16" x14ac:dyDescent="0.2">
      <c r="A69" s="1" t="s">
        <v>106</v>
      </c>
      <c r="B69" s="374" t="s">
        <v>10</v>
      </c>
      <c r="C69" s="188"/>
      <c r="D69" s="188"/>
      <c r="E69" s="188"/>
      <c r="F69" s="188"/>
      <c r="G69" s="188"/>
      <c r="H69" s="188"/>
      <c r="I69" s="188"/>
      <c r="J69" s="188"/>
      <c r="K69" s="188"/>
      <c r="L69" s="188"/>
      <c r="M69" s="188"/>
      <c r="N69" s="188"/>
      <c r="O69" s="188"/>
      <c r="P69" s="188"/>
    </row>
  </sheetData>
  <mergeCells count="7">
    <mergeCell ref="A1:P1"/>
    <mergeCell ref="A2:P2"/>
    <mergeCell ref="B4:B5"/>
    <mergeCell ref="C4:C5"/>
    <mergeCell ref="D4:D5"/>
    <mergeCell ref="E4:J4"/>
    <mergeCell ref="K4:P4"/>
  </mergeCells>
  <hyperlinks>
    <hyperlink ref="B69"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68"/>
  <sheetViews>
    <sheetView topLeftCell="A5" workbookViewId="0">
      <pane xSplit="2" ySplit="12" topLeftCell="C17" activePane="bottomRight" state="frozen"/>
      <selection activeCell="A5" sqref="A5"/>
      <selection pane="topRight" activeCell="C5" sqref="C5"/>
      <selection pane="bottomLeft" activeCell="A17" sqref="A17"/>
      <selection pane="bottomRight" activeCell="K21" sqref="K21"/>
    </sheetView>
  </sheetViews>
  <sheetFormatPr defaultRowHeight="12.75" x14ac:dyDescent="0.2"/>
  <cols>
    <col min="3" max="3" width="13.42578125" customWidth="1"/>
    <col min="4" max="4" width="13.140625" bestFit="1" customWidth="1"/>
    <col min="5" max="5" width="12.85546875" bestFit="1" customWidth="1"/>
    <col min="6" max="6" width="19.5703125" bestFit="1" customWidth="1"/>
    <col min="7" max="7" width="13.28515625" bestFit="1" customWidth="1"/>
    <col min="8" max="8" width="12.85546875" bestFit="1" customWidth="1"/>
  </cols>
  <sheetData>
    <row r="1" spans="1:8" ht="18" x14ac:dyDescent="0.25">
      <c r="A1" s="516" t="s">
        <v>813</v>
      </c>
      <c r="B1" s="516"/>
      <c r="C1" s="516"/>
      <c r="D1" s="516"/>
      <c r="E1" s="516"/>
      <c r="F1" s="516"/>
      <c r="G1" s="516"/>
      <c r="H1" s="516"/>
    </row>
    <row r="2" spans="1:8" ht="18" x14ac:dyDescent="0.25">
      <c r="A2" s="516">
        <v>2014</v>
      </c>
      <c r="B2" s="516"/>
      <c r="C2" s="516"/>
      <c r="D2" s="516"/>
      <c r="E2" s="516"/>
      <c r="F2" s="516"/>
      <c r="G2" s="516"/>
      <c r="H2" s="516"/>
    </row>
    <row r="3" spans="1:8" ht="2.25" hidden="1" customHeight="1" x14ac:dyDescent="0.2">
      <c r="A3" s="6" t="s">
        <v>9</v>
      </c>
      <c r="B3" s="12"/>
      <c r="C3" s="12" t="s">
        <v>507</v>
      </c>
      <c r="D3" s="12" t="s">
        <v>507</v>
      </c>
      <c r="E3" s="12" t="s">
        <v>507</v>
      </c>
      <c r="F3" s="12" t="s">
        <v>507</v>
      </c>
      <c r="G3" s="12" t="s">
        <v>507</v>
      </c>
      <c r="H3" s="12" t="s">
        <v>507</v>
      </c>
    </row>
    <row r="4" spans="1:8" hidden="1" x14ac:dyDescent="0.2">
      <c r="A4" s="119" t="s">
        <v>14</v>
      </c>
      <c r="B4" s="12"/>
      <c r="C4" s="12" t="s">
        <v>814</v>
      </c>
      <c r="D4" s="12" t="s">
        <v>815</v>
      </c>
      <c r="E4" s="12" t="s">
        <v>816</v>
      </c>
      <c r="F4" s="12" t="s">
        <v>817</v>
      </c>
      <c r="G4" s="12" t="s">
        <v>818</v>
      </c>
      <c r="H4" s="12" t="s">
        <v>819</v>
      </c>
    </row>
    <row r="5" spans="1:8" x14ac:dyDescent="0.2">
      <c r="A5" s="1" t="s">
        <v>820</v>
      </c>
      <c r="B5" s="12"/>
      <c r="C5" s="12"/>
      <c r="D5" s="12"/>
      <c r="E5" s="12"/>
      <c r="F5" s="12"/>
      <c r="G5" s="12"/>
      <c r="H5" s="12"/>
    </row>
    <row r="6" spans="1:8" x14ac:dyDescent="0.2">
      <c r="A6" s="398" t="s">
        <v>821</v>
      </c>
      <c r="B6" s="606" t="s">
        <v>822</v>
      </c>
      <c r="C6" s="606"/>
      <c r="D6" s="606"/>
      <c r="E6" s="399" t="s">
        <v>823</v>
      </c>
      <c r="F6" s="607" t="s">
        <v>824</v>
      </c>
      <c r="G6" s="607"/>
      <c r="H6" s="607"/>
    </row>
    <row r="7" spans="1:8" x14ac:dyDescent="0.2">
      <c r="A7" s="398" t="s">
        <v>825</v>
      </c>
      <c r="B7" s="398" t="s">
        <v>826</v>
      </c>
      <c r="C7" s="398"/>
      <c r="D7" s="398"/>
      <c r="E7" s="399"/>
      <c r="F7" s="569" t="s">
        <v>827</v>
      </c>
      <c r="G7" s="569"/>
      <c r="H7" s="569"/>
    </row>
    <row r="8" spans="1:8" x14ac:dyDescent="0.2">
      <c r="A8" s="398" t="s">
        <v>828</v>
      </c>
      <c r="B8" s="606" t="s">
        <v>829</v>
      </c>
      <c r="C8" s="606"/>
      <c r="D8" s="606"/>
      <c r="E8" s="399"/>
      <c r="F8" s="607" t="s">
        <v>830</v>
      </c>
      <c r="G8" s="607"/>
      <c r="H8" s="607"/>
    </row>
    <row r="9" spans="1:8" ht="24" x14ac:dyDescent="0.2">
      <c r="A9" s="399" t="s">
        <v>831</v>
      </c>
      <c r="B9" s="607" t="s">
        <v>832</v>
      </c>
      <c r="C9" s="607"/>
      <c r="D9" s="607"/>
      <c r="E9" s="399" t="s">
        <v>833</v>
      </c>
      <c r="F9" s="607" t="s">
        <v>834</v>
      </c>
      <c r="G9" s="607"/>
      <c r="H9" s="607"/>
    </row>
    <row r="10" spans="1:8" x14ac:dyDescent="0.2">
      <c r="A10" s="400" t="s">
        <v>110</v>
      </c>
      <c r="B10" s="398" t="s">
        <v>835</v>
      </c>
      <c r="C10" s="398"/>
      <c r="D10" s="398"/>
      <c r="E10" s="12" t="s">
        <v>836</v>
      </c>
      <c r="F10" s="12" t="s">
        <v>661</v>
      </c>
      <c r="G10" s="12"/>
      <c r="H10" s="12"/>
    </row>
    <row r="11" spans="1:8" x14ac:dyDescent="0.2">
      <c r="A11" s="399" t="s">
        <v>699</v>
      </c>
      <c r="B11" s="12" t="s">
        <v>837</v>
      </c>
      <c r="C11" s="12"/>
      <c r="D11" s="12"/>
      <c r="E11" s="12"/>
      <c r="F11" s="399"/>
      <c r="G11" s="399"/>
      <c r="H11" s="399"/>
    </row>
    <row r="12" spans="1:8" x14ac:dyDescent="0.2">
      <c r="A12" s="399"/>
      <c r="B12" s="609" t="s">
        <v>838</v>
      </c>
      <c r="C12" s="609"/>
      <c r="D12" s="609"/>
      <c r="E12" s="12"/>
      <c r="F12" s="12"/>
      <c r="G12" s="399"/>
      <c r="H12" s="399"/>
    </row>
    <row r="13" spans="1:8" x14ac:dyDescent="0.2">
      <c r="A13" s="117"/>
      <c r="B13" s="117"/>
      <c r="C13" s="117"/>
      <c r="D13" s="117"/>
      <c r="E13" s="117"/>
      <c r="F13" s="117"/>
      <c r="G13" s="117"/>
      <c r="H13" s="117"/>
    </row>
    <row r="14" spans="1:8" x14ac:dyDescent="0.2">
      <c r="A14" s="117"/>
      <c r="B14" s="117"/>
      <c r="C14" s="117"/>
      <c r="D14" s="117"/>
      <c r="E14" s="117"/>
      <c r="F14" s="117"/>
      <c r="G14" s="117"/>
      <c r="H14" s="117"/>
    </row>
    <row r="15" spans="1:8" ht="36" x14ac:dyDescent="0.2">
      <c r="A15" s="117"/>
      <c r="B15" s="401"/>
      <c r="C15" s="121" t="s">
        <v>839</v>
      </c>
      <c r="D15" s="122" t="s">
        <v>840</v>
      </c>
      <c r="E15" s="122" t="s">
        <v>640</v>
      </c>
      <c r="F15" s="122" t="s">
        <v>841</v>
      </c>
      <c r="G15" s="122" t="s">
        <v>842</v>
      </c>
      <c r="H15" s="124" t="s">
        <v>796</v>
      </c>
    </row>
    <row r="16" spans="1:8" x14ac:dyDescent="0.2">
      <c r="A16" s="117"/>
      <c r="B16" s="136"/>
      <c r="C16" s="402" t="s">
        <v>46</v>
      </c>
      <c r="D16" s="131" t="s">
        <v>47</v>
      </c>
      <c r="E16" s="131" t="s">
        <v>48</v>
      </c>
      <c r="F16" s="131" t="s">
        <v>49</v>
      </c>
      <c r="G16" s="131" t="s">
        <v>50</v>
      </c>
      <c r="H16" s="403" t="s">
        <v>51</v>
      </c>
    </row>
    <row r="17" spans="1:8" x14ac:dyDescent="0.2">
      <c r="A17" s="404" t="s">
        <v>60</v>
      </c>
      <c r="B17" s="57"/>
      <c r="C17" s="55"/>
      <c r="D17" s="46"/>
      <c r="E17" s="46"/>
      <c r="F17" s="46"/>
      <c r="G17" s="46"/>
      <c r="H17" s="57"/>
    </row>
    <row r="18" spans="1:8" x14ac:dyDescent="0.2">
      <c r="A18" s="238" t="s">
        <v>437</v>
      </c>
      <c r="B18" s="309"/>
      <c r="C18" s="405" t="s">
        <v>110</v>
      </c>
      <c r="D18" s="406" t="s">
        <v>847</v>
      </c>
      <c r="E18" s="406" t="s">
        <v>831</v>
      </c>
      <c r="F18" s="406" t="s">
        <v>831</v>
      </c>
      <c r="G18" s="406" t="s">
        <v>831</v>
      </c>
      <c r="H18" s="407" t="s">
        <v>110</v>
      </c>
    </row>
    <row r="19" spans="1:8" x14ac:dyDescent="0.2">
      <c r="A19" s="238" t="s">
        <v>61</v>
      </c>
      <c r="B19" s="309"/>
      <c r="C19" s="405" t="s">
        <v>699</v>
      </c>
      <c r="D19" s="406" t="s">
        <v>699</v>
      </c>
      <c r="E19" s="406" t="s">
        <v>831</v>
      </c>
      <c r="F19" s="406" t="s">
        <v>836</v>
      </c>
      <c r="G19" s="406" t="s">
        <v>831</v>
      </c>
      <c r="H19" s="407" t="s">
        <v>831</v>
      </c>
    </row>
    <row r="20" spans="1:8" x14ac:dyDescent="0.2">
      <c r="A20" s="238" t="s">
        <v>328</v>
      </c>
      <c r="B20" s="309"/>
      <c r="C20" s="405" t="s">
        <v>847</v>
      </c>
      <c r="D20" s="406" t="s">
        <v>110</v>
      </c>
      <c r="E20" s="406" t="s">
        <v>831</v>
      </c>
      <c r="F20" s="406" t="s">
        <v>831</v>
      </c>
      <c r="G20" s="406" t="s">
        <v>110</v>
      </c>
      <c r="H20" s="407" t="s">
        <v>831</v>
      </c>
    </row>
    <row r="21" spans="1:8" x14ac:dyDescent="0.2">
      <c r="A21" s="238" t="s">
        <v>439</v>
      </c>
      <c r="B21" s="309"/>
      <c r="C21" s="405" t="s">
        <v>821</v>
      </c>
      <c r="D21" s="406" t="s">
        <v>110</v>
      </c>
      <c r="E21" s="406" t="s">
        <v>831</v>
      </c>
      <c r="F21" s="406" t="s">
        <v>831</v>
      </c>
      <c r="G21" s="406" t="s">
        <v>110</v>
      </c>
      <c r="H21" s="407" t="s">
        <v>831</v>
      </c>
    </row>
    <row r="22" spans="1:8" x14ac:dyDescent="0.2">
      <c r="A22" s="238" t="s">
        <v>64</v>
      </c>
      <c r="B22" s="309"/>
      <c r="C22" s="405" t="s">
        <v>831</v>
      </c>
      <c r="D22" s="406" t="s">
        <v>831</v>
      </c>
      <c r="E22" s="406" t="s">
        <v>831</v>
      </c>
      <c r="F22" s="406" t="s">
        <v>110</v>
      </c>
      <c r="G22" s="406" t="s">
        <v>110</v>
      </c>
      <c r="H22" s="407" t="s">
        <v>831</v>
      </c>
    </row>
    <row r="23" spans="1:8" x14ac:dyDescent="0.2">
      <c r="A23" s="238" t="s">
        <v>65</v>
      </c>
      <c r="B23" s="309"/>
      <c r="C23" s="405" t="s">
        <v>831</v>
      </c>
      <c r="D23" s="406" t="s">
        <v>110</v>
      </c>
      <c r="E23" s="406" t="s">
        <v>831</v>
      </c>
      <c r="F23" s="406" t="s">
        <v>110</v>
      </c>
      <c r="G23" s="406" t="s">
        <v>831</v>
      </c>
      <c r="H23" s="407" t="s">
        <v>831</v>
      </c>
    </row>
    <row r="24" spans="1:8" x14ac:dyDescent="0.2">
      <c r="A24" s="238" t="s">
        <v>66</v>
      </c>
      <c r="B24" s="309"/>
      <c r="C24" s="405" t="s">
        <v>848</v>
      </c>
      <c r="D24" s="406" t="s">
        <v>110</v>
      </c>
      <c r="E24" s="406" t="s">
        <v>831</v>
      </c>
      <c r="F24" s="406" t="s">
        <v>831</v>
      </c>
      <c r="G24" s="406" t="s">
        <v>831</v>
      </c>
      <c r="H24" s="407" t="s">
        <v>848</v>
      </c>
    </row>
    <row r="25" spans="1:8" x14ac:dyDescent="0.2">
      <c r="A25" s="238" t="s">
        <v>67</v>
      </c>
      <c r="B25" s="309"/>
      <c r="C25" s="405" t="s">
        <v>821</v>
      </c>
      <c r="D25" s="406" t="s">
        <v>831</v>
      </c>
      <c r="E25" s="406" t="s">
        <v>831</v>
      </c>
      <c r="F25" s="406" t="s">
        <v>831</v>
      </c>
      <c r="G25" s="406" t="s">
        <v>831</v>
      </c>
      <c r="H25" s="407" t="s">
        <v>831</v>
      </c>
    </row>
    <row r="26" spans="1:8" ht="48" x14ac:dyDescent="0.2">
      <c r="A26" s="238" t="s">
        <v>68</v>
      </c>
      <c r="B26" s="309"/>
      <c r="C26" s="405" t="s">
        <v>849</v>
      </c>
      <c r="D26" s="406" t="s">
        <v>849</v>
      </c>
      <c r="E26" s="406" t="s">
        <v>831</v>
      </c>
      <c r="F26" s="406" t="s">
        <v>831</v>
      </c>
      <c r="G26" s="406" t="s">
        <v>831</v>
      </c>
      <c r="H26" s="407" t="s">
        <v>831</v>
      </c>
    </row>
    <row r="27" spans="1:8" ht="13.5" x14ac:dyDescent="0.2">
      <c r="A27" s="238" t="s">
        <v>843</v>
      </c>
      <c r="B27" s="309"/>
      <c r="C27" s="405" t="s">
        <v>850</v>
      </c>
      <c r="D27" s="406" t="s">
        <v>851</v>
      </c>
      <c r="E27" s="406" t="s">
        <v>831</v>
      </c>
      <c r="F27" s="406" t="s">
        <v>831</v>
      </c>
      <c r="G27" s="406" t="s">
        <v>831</v>
      </c>
      <c r="H27" s="407" t="s">
        <v>831</v>
      </c>
    </row>
    <row r="28" spans="1:8" x14ac:dyDescent="0.2">
      <c r="A28" s="238" t="s">
        <v>70</v>
      </c>
      <c r="B28" s="309"/>
      <c r="C28" s="405" t="s">
        <v>699</v>
      </c>
      <c r="D28" s="406" t="s">
        <v>831</v>
      </c>
      <c r="E28" s="406" t="s">
        <v>836</v>
      </c>
      <c r="F28" s="406" t="s">
        <v>831</v>
      </c>
      <c r="G28" s="406" t="s">
        <v>831</v>
      </c>
      <c r="H28" s="407" t="s">
        <v>831</v>
      </c>
    </row>
    <row r="29" spans="1:8" ht="24" x14ac:dyDescent="0.2">
      <c r="A29" s="238" t="s">
        <v>71</v>
      </c>
      <c r="B29" s="309"/>
      <c r="C29" s="405" t="s">
        <v>1074</v>
      </c>
      <c r="D29" s="406" t="s">
        <v>1074</v>
      </c>
      <c r="E29" s="406" t="s">
        <v>831</v>
      </c>
      <c r="F29" s="406" t="s">
        <v>831</v>
      </c>
      <c r="G29" s="406" t="s">
        <v>831</v>
      </c>
      <c r="H29" s="407" t="s">
        <v>110</v>
      </c>
    </row>
    <row r="30" spans="1:8" x14ac:dyDescent="0.2">
      <c r="A30" s="238" t="s">
        <v>72</v>
      </c>
      <c r="B30" s="309"/>
      <c r="C30" s="405" t="s">
        <v>848</v>
      </c>
      <c r="D30" s="406" t="s">
        <v>110</v>
      </c>
      <c r="E30" s="406" t="s">
        <v>836</v>
      </c>
      <c r="F30" s="406" t="s">
        <v>831</v>
      </c>
      <c r="G30" s="406" t="s">
        <v>831</v>
      </c>
      <c r="H30" s="407" t="s">
        <v>831</v>
      </c>
    </row>
    <row r="31" spans="1:8" s="35" customFormat="1" x14ac:dyDescent="0.2">
      <c r="A31" s="238" t="s">
        <v>73</v>
      </c>
      <c r="B31" s="309"/>
      <c r="C31" s="405" t="s">
        <v>852</v>
      </c>
      <c r="D31" s="406" t="s">
        <v>110</v>
      </c>
      <c r="E31" s="406" t="s">
        <v>831</v>
      </c>
      <c r="F31" s="406" t="s">
        <v>852</v>
      </c>
      <c r="G31" s="406" t="s">
        <v>831</v>
      </c>
      <c r="H31" s="407" t="s">
        <v>852</v>
      </c>
    </row>
    <row r="32" spans="1:8" x14ac:dyDescent="0.2">
      <c r="A32" s="238" t="s">
        <v>74</v>
      </c>
      <c r="B32" s="309"/>
      <c r="C32" s="405" t="s">
        <v>853</v>
      </c>
      <c r="D32" s="406" t="s">
        <v>831</v>
      </c>
      <c r="E32" s="406" t="s">
        <v>831</v>
      </c>
      <c r="F32" s="406" t="s">
        <v>821</v>
      </c>
      <c r="G32" s="406" t="s">
        <v>831</v>
      </c>
      <c r="H32" s="407" t="s">
        <v>831</v>
      </c>
    </row>
    <row r="33" spans="1:8" x14ac:dyDescent="0.2">
      <c r="A33" s="238" t="s">
        <v>75</v>
      </c>
      <c r="B33" s="309"/>
      <c r="C33" s="405" t="s">
        <v>848</v>
      </c>
      <c r="D33" s="406" t="s">
        <v>110</v>
      </c>
      <c r="E33" s="406" t="s">
        <v>831</v>
      </c>
      <c r="F33" s="406" t="s">
        <v>831</v>
      </c>
      <c r="G33" s="406" t="s">
        <v>831</v>
      </c>
      <c r="H33" s="407" t="s">
        <v>854</v>
      </c>
    </row>
    <row r="34" spans="1:8" x14ac:dyDescent="0.2">
      <c r="A34" s="238" t="s">
        <v>76</v>
      </c>
      <c r="B34" s="309"/>
      <c r="C34" s="405" t="s">
        <v>848</v>
      </c>
      <c r="D34" s="406" t="s">
        <v>110</v>
      </c>
      <c r="E34" s="406" t="s">
        <v>831</v>
      </c>
      <c r="F34" s="406" t="s">
        <v>831</v>
      </c>
      <c r="G34" s="406" t="s">
        <v>110</v>
      </c>
      <c r="H34" s="407" t="s">
        <v>110</v>
      </c>
    </row>
    <row r="35" spans="1:8" x14ac:dyDescent="0.2">
      <c r="A35" s="238" t="s">
        <v>77</v>
      </c>
      <c r="B35" s="309"/>
      <c r="C35" s="405" t="s">
        <v>831</v>
      </c>
      <c r="D35" s="406" t="s">
        <v>110</v>
      </c>
      <c r="E35" s="406" t="s">
        <v>831</v>
      </c>
      <c r="F35" s="406" t="s">
        <v>831</v>
      </c>
      <c r="G35" s="406" t="s">
        <v>821</v>
      </c>
      <c r="H35" s="407" t="s">
        <v>831</v>
      </c>
    </row>
    <row r="36" spans="1:8" x14ac:dyDescent="0.2">
      <c r="A36" s="238" t="s">
        <v>78</v>
      </c>
      <c r="B36" s="309"/>
      <c r="C36" s="405" t="s">
        <v>831</v>
      </c>
      <c r="D36" s="406" t="s">
        <v>110</v>
      </c>
      <c r="E36" s="406" t="s">
        <v>831</v>
      </c>
      <c r="F36" s="406" t="s">
        <v>831</v>
      </c>
      <c r="G36" s="406" t="s">
        <v>831</v>
      </c>
      <c r="H36" s="407" t="s">
        <v>831</v>
      </c>
    </row>
    <row r="37" spans="1:8" ht="24" x14ac:dyDescent="0.2">
      <c r="A37" s="238" t="s">
        <v>844</v>
      </c>
      <c r="B37" s="309"/>
      <c r="C37" s="405" t="s">
        <v>850</v>
      </c>
      <c r="D37" s="406" t="s">
        <v>110</v>
      </c>
      <c r="E37" s="406" t="s">
        <v>831</v>
      </c>
      <c r="F37" s="406" t="s">
        <v>831</v>
      </c>
      <c r="G37" s="406" t="s">
        <v>831</v>
      </c>
      <c r="H37" s="407" t="s">
        <v>855</v>
      </c>
    </row>
    <row r="38" spans="1:8" x14ac:dyDescent="0.2">
      <c r="A38" s="238" t="s">
        <v>80</v>
      </c>
      <c r="B38" s="309"/>
      <c r="C38" s="405" t="s">
        <v>856</v>
      </c>
      <c r="D38" s="406" t="s">
        <v>110</v>
      </c>
      <c r="E38" s="406" t="s">
        <v>831</v>
      </c>
      <c r="F38" s="406" t="s">
        <v>836</v>
      </c>
      <c r="G38" s="406" t="s">
        <v>831</v>
      </c>
      <c r="H38" s="407" t="s">
        <v>699</v>
      </c>
    </row>
    <row r="39" spans="1:8" x14ac:dyDescent="0.2">
      <c r="A39" s="238" t="s">
        <v>262</v>
      </c>
      <c r="B39" s="309"/>
      <c r="C39" s="405" t="s">
        <v>110</v>
      </c>
      <c r="D39" s="406" t="s">
        <v>821</v>
      </c>
      <c r="E39" s="406" t="s">
        <v>836</v>
      </c>
      <c r="F39" s="406" t="s">
        <v>821</v>
      </c>
      <c r="G39" s="406" t="s">
        <v>831</v>
      </c>
      <c r="H39" s="407" t="s">
        <v>110</v>
      </c>
    </row>
    <row r="40" spans="1:8" x14ac:dyDescent="0.2">
      <c r="A40" s="238" t="s">
        <v>81</v>
      </c>
      <c r="B40" s="309"/>
      <c r="C40" s="405" t="s">
        <v>821</v>
      </c>
      <c r="D40" s="406" t="s">
        <v>110</v>
      </c>
      <c r="E40" s="406" t="s">
        <v>831</v>
      </c>
      <c r="F40" s="406" t="s">
        <v>825</v>
      </c>
      <c r="G40" s="406" t="s">
        <v>831</v>
      </c>
      <c r="H40" s="407" t="s">
        <v>831</v>
      </c>
    </row>
    <row r="41" spans="1:8" x14ac:dyDescent="0.2">
      <c r="A41" s="238" t="s">
        <v>334</v>
      </c>
      <c r="B41" s="309"/>
      <c r="C41" s="405" t="s">
        <v>821</v>
      </c>
      <c r="D41" s="406" t="s">
        <v>110</v>
      </c>
      <c r="E41" s="406" t="s">
        <v>831</v>
      </c>
      <c r="F41" s="406" t="s">
        <v>831</v>
      </c>
      <c r="G41" s="406" t="s">
        <v>831</v>
      </c>
      <c r="H41" s="407" t="s">
        <v>831</v>
      </c>
    </row>
    <row r="42" spans="1:8" x14ac:dyDescent="0.2">
      <c r="A42" s="238" t="s">
        <v>83</v>
      </c>
      <c r="B42" s="309"/>
      <c r="C42" s="405" t="s">
        <v>831</v>
      </c>
      <c r="D42" s="406" t="s">
        <v>831</v>
      </c>
      <c r="E42" s="406" t="s">
        <v>831</v>
      </c>
      <c r="F42" s="406" t="s">
        <v>831</v>
      </c>
      <c r="G42" s="406" t="s">
        <v>110</v>
      </c>
      <c r="H42" s="407" t="s">
        <v>831</v>
      </c>
    </row>
    <row r="43" spans="1:8" x14ac:dyDescent="0.2">
      <c r="A43" s="238" t="s">
        <v>84</v>
      </c>
      <c r="B43" s="309"/>
      <c r="C43" s="405" t="s">
        <v>831</v>
      </c>
      <c r="D43" s="406" t="s">
        <v>110</v>
      </c>
      <c r="E43" s="406" t="s">
        <v>857</v>
      </c>
      <c r="F43" s="406" t="s">
        <v>831</v>
      </c>
      <c r="G43" s="406" t="s">
        <v>110</v>
      </c>
      <c r="H43" s="407" t="s">
        <v>831</v>
      </c>
    </row>
    <row r="44" spans="1:8" x14ac:dyDescent="0.2">
      <c r="A44" s="238" t="s">
        <v>85</v>
      </c>
      <c r="B44" s="309"/>
      <c r="C44" s="405" t="s">
        <v>821</v>
      </c>
      <c r="D44" s="406" t="s">
        <v>110</v>
      </c>
      <c r="E44" s="406" t="s">
        <v>831</v>
      </c>
      <c r="F44" s="406" t="s">
        <v>831</v>
      </c>
      <c r="G44" s="406" t="s">
        <v>831</v>
      </c>
      <c r="H44" s="407" t="s">
        <v>831</v>
      </c>
    </row>
    <row r="45" spans="1:8" ht="13.5" x14ac:dyDescent="0.2">
      <c r="A45" s="238" t="s">
        <v>845</v>
      </c>
      <c r="B45" s="309"/>
      <c r="C45" s="405" t="s">
        <v>850</v>
      </c>
      <c r="D45" s="406" t="s">
        <v>821</v>
      </c>
      <c r="E45" s="406" t="s">
        <v>831</v>
      </c>
      <c r="F45" s="406" t="s">
        <v>110</v>
      </c>
      <c r="G45" s="406" t="s">
        <v>110</v>
      </c>
      <c r="H45" s="407" t="s">
        <v>847</v>
      </c>
    </row>
    <row r="46" spans="1:8" x14ac:dyDescent="0.2">
      <c r="A46" s="238" t="s">
        <v>87</v>
      </c>
      <c r="B46" s="309"/>
      <c r="C46" s="405" t="s">
        <v>852</v>
      </c>
      <c r="D46" s="406" t="s">
        <v>852</v>
      </c>
      <c r="E46" s="406" t="s">
        <v>831</v>
      </c>
      <c r="F46" s="406" t="s">
        <v>831</v>
      </c>
      <c r="G46" s="406" t="s">
        <v>831</v>
      </c>
      <c r="H46" s="407" t="s">
        <v>831</v>
      </c>
    </row>
    <row r="47" spans="1:8" x14ac:dyDescent="0.2">
      <c r="A47" s="238" t="s">
        <v>88</v>
      </c>
      <c r="B47" s="309"/>
      <c r="C47" s="405" t="s">
        <v>850</v>
      </c>
      <c r="D47" s="406" t="s">
        <v>110</v>
      </c>
      <c r="E47" s="406" t="s">
        <v>821</v>
      </c>
      <c r="F47" s="406" t="s">
        <v>110</v>
      </c>
      <c r="G47" s="406" t="s">
        <v>110</v>
      </c>
      <c r="H47" s="407" t="s">
        <v>831</v>
      </c>
    </row>
    <row r="48" spans="1:8" ht="13.5" x14ac:dyDescent="0.2">
      <c r="A48" s="238" t="s">
        <v>846</v>
      </c>
      <c r="B48" s="309"/>
      <c r="C48" s="405" t="s">
        <v>858</v>
      </c>
      <c r="D48" s="406" t="s">
        <v>110</v>
      </c>
      <c r="E48" s="406" t="s">
        <v>110</v>
      </c>
      <c r="F48" s="406" t="s">
        <v>110</v>
      </c>
      <c r="G48" s="406" t="s">
        <v>110</v>
      </c>
      <c r="H48" s="407" t="s">
        <v>110</v>
      </c>
    </row>
    <row r="49" spans="1:8" x14ac:dyDescent="0.2">
      <c r="A49" s="238" t="s">
        <v>90</v>
      </c>
      <c r="B49" s="309"/>
      <c r="C49" s="405" t="s">
        <v>847</v>
      </c>
      <c r="D49" s="406" t="s">
        <v>847</v>
      </c>
      <c r="E49" s="406" t="s">
        <v>831</v>
      </c>
      <c r="F49" s="406" t="s">
        <v>110</v>
      </c>
      <c r="G49" s="406" t="s">
        <v>831</v>
      </c>
      <c r="H49" s="407" t="s">
        <v>831</v>
      </c>
    </row>
    <row r="50" spans="1:8" x14ac:dyDescent="0.2">
      <c r="A50" s="238" t="s">
        <v>448</v>
      </c>
      <c r="B50" s="309"/>
      <c r="C50" s="405" t="s">
        <v>821</v>
      </c>
      <c r="D50" s="406" t="s">
        <v>110</v>
      </c>
      <c r="E50" s="406" t="s">
        <v>857</v>
      </c>
      <c r="F50" s="406" t="s">
        <v>110</v>
      </c>
      <c r="G50" s="406" t="s">
        <v>110</v>
      </c>
      <c r="H50" s="407" t="s">
        <v>831</v>
      </c>
    </row>
    <row r="51" spans="1:8" x14ac:dyDescent="0.2">
      <c r="A51" s="404" t="s">
        <v>92</v>
      </c>
      <c r="B51" s="309"/>
      <c r="C51" s="296"/>
      <c r="D51" s="41"/>
      <c r="E51" s="46"/>
      <c r="F51" s="46"/>
      <c r="G51" s="46"/>
      <c r="H51" s="57"/>
    </row>
    <row r="52" spans="1:8" x14ac:dyDescent="0.2">
      <c r="A52" s="55" t="s">
        <v>93</v>
      </c>
      <c r="B52" s="309"/>
      <c r="C52" s="405" t="s">
        <v>831</v>
      </c>
      <c r="D52" s="406" t="s">
        <v>110</v>
      </c>
      <c r="E52" s="406" t="s">
        <v>831</v>
      </c>
      <c r="F52" s="406" t="s">
        <v>831</v>
      </c>
      <c r="G52" s="406" t="s">
        <v>110</v>
      </c>
      <c r="H52" s="407" t="s">
        <v>831</v>
      </c>
    </row>
    <row r="53" spans="1:8" x14ac:dyDescent="0.2">
      <c r="A53" s="55" t="s">
        <v>94</v>
      </c>
      <c r="B53" s="309"/>
      <c r="C53" s="405" t="s">
        <v>831</v>
      </c>
      <c r="D53" s="406" t="s">
        <v>110</v>
      </c>
      <c r="E53" s="406" t="s">
        <v>831</v>
      </c>
      <c r="F53" s="406" t="s">
        <v>831</v>
      </c>
      <c r="G53" s="406" t="s">
        <v>831</v>
      </c>
      <c r="H53" s="407" t="s">
        <v>831</v>
      </c>
    </row>
    <row r="54" spans="1:8" x14ac:dyDescent="0.2">
      <c r="A54" s="55" t="s">
        <v>882</v>
      </c>
      <c r="B54" s="309"/>
      <c r="C54" s="405" t="s">
        <v>831</v>
      </c>
      <c r="D54" s="406" t="s">
        <v>110</v>
      </c>
      <c r="E54" s="406" t="s">
        <v>831</v>
      </c>
      <c r="F54" s="406" t="s">
        <v>831</v>
      </c>
      <c r="G54" s="406" t="s">
        <v>831</v>
      </c>
      <c r="H54" s="407" t="s">
        <v>831</v>
      </c>
    </row>
    <row r="55" spans="1:8" x14ac:dyDescent="0.2">
      <c r="A55" s="55" t="s">
        <v>95</v>
      </c>
      <c r="B55" s="309"/>
      <c r="C55" s="405" t="s">
        <v>831</v>
      </c>
      <c r="D55" s="406" t="s">
        <v>110</v>
      </c>
      <c r="E55" s="406" t="s">
        <v>831</v>
      </c>
      <c r="F55" s="406" t="s">
        <v>831</v>
      </c>
      <c r="G55" s="406" t="s">
        <v>831</v>
      </c>
      <c r="H55" s="407" t="s">
        <v>831</v>
      </c>
    </row>
    <row r="56" spans="1:8" x14ac:dyDescent="0.2">
      <c r="A56" s="55" t="s">
        <v>96</v>
      </c>
      <c r="B56" s="57"/>
      <c r="C56" s="405" t="s">
        <v>831</v>
      </c>
      <c r="D56" s="406" t="s">
        <v>110</v>
      </c>
      <c r="E56" s="406" t="s">
        <v>831</v>
      </c>
      <c r="F56" s="406" t="s">
        <v>831</v>
      </c>
      <c r="G56" s="406" t="s">
        <v>831</v>
      </c>
      <c r="H56" s="407" t="s">
        <v>831</v>
      </c>
    </row>
    <row r="57" spans="1:8" x14ac:dyDescent="0.2">
      <c r="A57" s="55" t="s">
        <v>277</v>
      </c>
      <c r="B57" s="57"/>
      <c r="C57" s="405" t="s">
        <v>821</v>
      </c>
      <c r="D57" s="406" t="s">
        <v>831</v>
      </c>
      <c r="E57" s="406" t="s">
        <v>831</v>
      </c>
      <c r="F57" s="406" t="s">
        <v>831</v>
      </c>
      <c r="G57" s="406" t="s">
        <v>831</v>
      </c>
      <c r="H57" s="407" t="s">
        <v>821</v>
      </c>
    </row>
    <row r="58" spans="1:8" x14ac:dyDescent="0.2">
      <c r="A58" s="134" t="s">
        <v>97</v>
      </c>
      <c r="B58" s="136"/>
      <c r="C58" s="408" t="s">
        <v>831</v>
      </c>
      <c r="D58" s="409" t="s">
        <v>110</v>
      </c>
      <c r="E58" s="409" t="s">
        <v>831</v>
      </c>
      <c r="F58" s="409" t="s">
        <v>831</v>
      </c>
      <c r="G58" s="409" t="s">
        <v>110</v>
      </c>
      <c r="H58" s="410" t="s">
        <v>831</v>
      </c>
    </row>
    <row r="59" spans="1:8" x14ac:dyDescent="0.2">
      <c r="A59" s="117"/>
      <c r="B59" s="117"/>
      <c r="C59" s="117"/>
      <c r="D59" s="117"/>
      <c r="E59" s="117"/>
      <c r="F59" s="117"/>
      <c r="G59" s="117"/>
      <c r="H59" s="117"/>
    </row>
    <row r="60" spans="1:8" x14ac:dyDescent="0.2">
      <c r="A60" s="47" t="s">
        <v>98</v>
      </c>
      <c r="B60" s="46"/>
      <c r="C60" s="411"/>
      <c r="D60" s="412"/>
      <c r="E60" s="411"/>
      <c r="F60" s="411"/>
      <c r="G60" s="412"/>
      <c r="H60" s="411"/>
    </row>
    <row r="61" spans="1:8" x14ac:dyDescent="0.2">
      <c r="A61" s="12" t="s">
        <v>859</v>
      </c>
      <c r="B61" s="12"/>
      <c r="C61" s="12"/>
      <c r="D61" s="12"/>
      <c r="E61" s="12"/>
      <c r="F61" s="12"/>
      <c r="G61" s="12"/>
      <c r="H61" s="12"/>
    </row>
    <row r="62" spans="1:8" x14ac:dyDescent="0.2">
      <c r="A62" s="610" t="s">
        <v>860</v>
      </c>
      <c r="B62" s="610"/>
      <c r="C62" s="610"/>
      <c r="D62" s="610"/>
      <c r="E62" s="610"/>
      <c r="F62" s="610"/>
      <c r="G62" s="610"/>
      <c r="H62" s="610"/>
    </row>
    <row r="63" spans="1:8" x14ac:dyDescent="0.2">
      <c r="A63" s="610" t="s">
        <v>861</v>
      </c>
      <c r="B63" s="610"/>
      <c r="C63" s="610"/>
      <c r="D63" s="610"/>
      <c r="E63" s="610"/>
      <c r="F63" s="610"/>
      <c r="G63" s="610"/>
      <c r="H63" s="610"/>
    </row>
    <row r="64" spans="1:8" x14ac:dyDescent="0.2">
      <c r="A64" s="608" t="s">
        <v>862</v>
      </c>
      <c r="B64" s="608"/>
      <c r="C64" s="608"/>
      <c r="D64" s="608"/>
      <c r="E64" s="608"/>
      <c r="F64" s="608"/>
      <c r="G64" s="608"/>
      <c r="H64" s="608"/>
    </row>
    <row r="65" spans="1:8" x14ac:dyDescent="0.2">
      <c r="A65" s="608" t="s">
        <v>863</v>
      </c>
      <c r="B65" s="608"/>
      <c r="C65" s="608"/>
      <c r="D65" s="608"/>
      <c r="E65" s="608"/>
      <c r="F65" s="608"/>
      <c r="G65" s="608"/>
      <c r="H65" s="608"/>
    </row>
    <row r="66" spans="1:8" x14ac:dyDescent="0.2">
      <c r="A66" s="608" t="s">
        <v>864</v>
      </c>
      <c r="B66" s="608"/>
      <c r="C66" s="608"/>
      <c r="D66" s="608"/>
      <c r="E66" s="608"/>
      <c r="F66" s="608"/>
      <c r="G66" s="608"/>
      <c r="H66" s="608"/>
    </row>
    <row r="67" spans="1:8" x14ac:dyDescent="0.2">
      <c r="A67" s="306"/>
      <c r="B67" s="41"/>
      <c r="C67" s="41"/>
      <c r="D67" s="41"/>
      <c r="E67" s="41"/>
      <c r="F67" s="41"/>
      <c r="G67" s="41"/>
      <c r="H67" s="41"/>
    </row>
    <row r="68" spans="1:8" x14ac:dyDescent="0.2">
      <c r="A68" s="1" t="s">
        <v>106</v>
      </c>
      <c r="B68" s="12"/>
      <c r="C68" s="413" t="s">
        <v>10</v>
      </c>
      <c r="D68" s="12"/>
      <c r="E68" s="12"/>
      <c r="F68" s="12"/>
      <c r="G68" s="12"/>
      <c r="H68" s="12"/>
    </row>
  </sheetData>
  <mergeCells count="15">
    <mergeCell ref="A65:H65"/>
    <mergeCell ref="A66:H66"/>
    <mergeCell ref="B9:D9"/>
    <mergeCell ref="F9:H9"/>
    <mergeCell ref="B12:D12"/>
    <mergeCell ref="A62:H62"/>
    <mergeCell ref="A63:H63"/>
    <mergeCell ref="A64:H64"/>
    <mergeCell ref="B8:D8"/>
    <mergeCell ref="F8:H8"/>
    <mergeCell ref="A1:H1"/>
    <mergeCell ref="A2:H2"/>
    <mergeCell ref="B6:D6"/>
    <mergeCell ref="F6:H6"/>
    <mergeCell ref="F7:H7"/>
  </mergeCells>
  <hyperlinks>
    <hyperlink ref="C68"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47"/>
  <sheetViews>
    <sheetView topLeftCell="A25" workbookViewId="0">
      <selection activeCell="A20" sqref="A20:XFD20"/>
    </sheetView>
  </sheetViews>
  <sheetFormatPr defaultRowHeight="12.75" x14ac:dyDescent="0.2"/>
  <cols>
    <col min="1" max="1" width="20" bestFit="1" customWidth="1"/>
    <col min="2" max="2" width="17.85546875" bestFit="1" customWidth="1"/>
  </cols>
  <sheetData>
    <row r="1" spans="1:8" ht="18" x14ac:dyDescent="0.25">
      <c r="A1" s="611" t="s">
        <v>878</v>
      </c>
      <c r="B1" s="612"/>
      <c r="C1" s="415"/>
      <c r="D1" s="415"/>
      <c r="E1" s="415"/>
      <c r="F1" s="415"/>
      <c r="G1" s="415"/>
      <c r="H1" s="415"/>
    </row>
    <row r="2" spans="1:8" ht="18" x14ac:dyDescent="0.25">
      <c r="A2" s="613">
        <v>2014</v>
      </c>
      <c r="B2" s="614"/>
      <c r="C2" s="415"/>
      <c r="D2" s="415"/>
      <c r="E2" s="415"/>
      <c r="F2" s="415"/>
      <c r="G2" s="415"/>
      <c r="H2" s="415"/>
    </row>
    <row r="3" spans="1:8" x14ac:dyDescent="0.2">
      <c r="A3" s="416" t="s">
        <v>60</v>
      </c>
      <c r="B3" s="416" t="s">
        <v>883</v>
      </c>
    </row>
    <row r="4" spans="1:8" x14ac:dyDescent="0.2">
      <c r="A4" s="417" t="s">
        <v>437</v>
      </c>
      <c r="B4" s="418">
        <f>VLOOKUP('Average wages'!A4,Sheet2!A$2:B$41,2,FALSE)</f>
        <v>79409</v>
      </c>
    </row>
    <row r="5" spans="1:8" x14ac:dyDescent="0.2">
      <c r="A5" s="417" t="s">
        <v>61</v>
      </c>
      <c r="B5" s="419">
        <f>VLOOKUP('Average wages'!A5,Sheet2!A$2:B$41,2,FALSE)</f>
        <v>42813.65</v>
      </c>
    </row>
    <row r="6" spans="1:8" x14ac:dyDescent="0.2">
      <c r="A6" s="417" t="s">
        <v>328</v>
      </c>
      <c r="B6" s="419">
        <f>VLOOKUP('Average wages'!A6,Sheet2!A$2:B$41,2,FALSE)</f>
        <v>46451</v>
      </c>
    </row>
    <row r="7" spans="1:8" x14ac:dyDescent="0.2">
      <c r="A7" s="417" t="s">
        <v>439</v>
      </c>
      <c r="B7" s="420">
        <f>VLOOKUP('Average wages'!A7,Sheet2!A$2:B$41,2,FALSE)</f>
        <v>49832.038769244304</v>
      </c>
    </row>
    <row r="8" spans="1:8" x14ac:dyDescent="0.2">
      <c r="A8" s="417" t="s">
        <v>64</v>
      </c>
      <c r="B8" s="420">
        <f>VLOOKUP('Average wages'!A8,Sheet2!A$2:B$41,2,FALSE)</f>
        <v>7877707</v>
      </c>
    </row>
    <row r="9" spans="1:8" x14ac:dyDescent="0.2">
      <c r="A9" s="417" t="s">
        <v>65</v>
      </c>
      <c r="B9" s="421">
        <f>VLOOKUP('Average wages'!A9,Sheet2!A$2:B$41,2,FALSE)</f>
        <v>310620</v>
      </c>
    </row>
    <row r="10" spans="1:8" x14ac:dyDescent="0.2">
      <c r="A10" s="417" t="s">
        <v>66</v>
      </c>
      <c r="B10" s="422">
        <f>VLOOKUP('Average wages'!A10,Sheet2!A$2:B$41,2,FALSE)</f>
        <v>397600</v>
      </c>
    </row>
    <row r="11" spans="1:8" x14ac:dyDescent="0.2">
      <c r="A11" s="417" t="s">
        <v>67</v>
      </c>
      <c r="B11" s="419">
        <f>VLOOKUP('Average wages'!A11,Sheet2!A$2:B$41,2,FALSE)</f>
        <v>12337.98</v>
      </c>
    </row>
    <row r="12" spans="1:8" x14ac:dyDescent="0.2">
      <c r="A12" s="417" t="s">
        <v>68</v>
      </c>
      <c r="B12" s="419">
        <f>VLOOKUP('Average wages'!A12,Sheet2!A$2:B$41,2,FALSE)</f>
        <v>42704</v>
      </c>
    </row>
    <row r="13" spans="1:8" x14ac:dyDescent="0.2">
      <c r="A13" s="417" t="s">
        <v>69</v>
      </c>
      <c r="B13" s="419">
        <f>VLOOKUP('Average wages'!A13,Sheet2!A$2:B$41,2,FALSE)</f>
        <v>37235</v>
      </c>
    </row>
    <row r="14" spans="1:8" x14ac:dyDescent="0.2">
      <c r="A14" s="417" t="s">
        <v>70</v>
      </c>
      <c r="B14" s="419">
        <f>VLOOKUP('Average wages'!A14,Sheet2!A$2:B$41,2,FALSE)</f>
        <v>45970</v>
      </c>
    </row>
    <row r="15" spans="1:8" x14ac:dyDescent="0.2">
      <c r="A15" s="417" t="s">
        <v>71</v>
      </c>
      <c r="B15" s="419">
        <f>VLOOKUP('Average wages'!A15,Sheet2!A$2:B$41,2,FALSE)</f>
        <v>21321.5</v>
      </c>
    </row>
    <row r="16" spans="1:8" x14ac:dyDescent="0.2">
      <c r="A16" s="417" t="s">
        <v>72</v>
      </c>
      <c r="B16" s="423">
        <f>VLOOKUP('Average wages'!A16,Sheet2!A$2:B$41,2,FALSE)</f>
        <v>3053364</v>
      </c>
    </row>
    <row r="17" spans="1:2" x14ac:dyDescent="0.2">
      <c r="A17" s="417" t="s">
        <v>73</v>
      </c>
      <c r="B17" s="424">
        <f>VLOOKUP('Average wages'!A17,Sheet2!A$2:B$41,2,FALSE)</f>
        <v>7176000</v>
      </c>
    </row>
    <row r="18" spans="1:2" x14ac:dyDescent="0.2">
      <c r="A18" s="417" t="s">
        <v>74</v>
      </c>
      <c r="B18" s="419">
        <f>VLOOKUP('Average wages'!A18,Sheet2!A$2:B$41,2,FALSE)</f>
        <v>43362.888888888891</v>
      </c>
    </row>
    <row r="19" spans="1:2" x14ac:dyDescent="0.2">
      <c r="A19" s="417" t="s">
        <v>75</v>
      </c>
      <c r="B19" s="425">
        <f>VLOOKUP('Average wages'!A19,Sheet2!A$2:B$41,2,FALSE)</f>
        <v>134748</v>
      </c>
    </row>
    <row r="20" spans="1:2" x14ac:dyDescent="0.2">
      <c r="A20" s="417" t="s">
        <v>76</v>
      </c>
      <c r="B20" s="419">
        <f>VLOOKUP('Average wages'!A20,Sheet2!A$2:B$41,2,FALSE)</f>
        <v>30347</v>
      </c>
    </row>
    <row r="21" spans="1:2" x14ac:dyDescent="0.2">
      <c r="A21" s="417" t="s">
        <v>77</v>
      </c>
      <c r="B21" s="426">
        <f>VLOOKUP('Average wages'!A21,Sheet2!A$2:B$41,2,FALSE)</f>
        <v>4972455</v>
      </c>
    </row>
    <row r="22" spans="1:2" x14ac:dyDescent="0.2">
      <c r="A22" s="417" t="s">
        <v>78</v>
      </c>
      <c r="B22" s="427">
        <f>VLOOKUP('Average wages'!A22,Sheet2!A$2:B$41,2,FALSE)</f>
        <v>41428224</v>
      </c>
    </row>
    <row r="23" spans="1:2" x14ac:dyDescent="0.2">
      <c r="A23" s="428" t="s">
        <v>95</v>
      </c>
      <c r="B23" s="419">
        <f>VLOOKUP('Average wages'!A23,Sheet2!A$2:B$41,2,FALSE)</f>
        <v>8892</v>
      </c>
    </row>
    <row r="24" spans="1:2" x14ac:dyDescent="0.2">
      <c r="A24" s="417" t="s">
        <v>79</v>
      </c>
      <c r="B24" s="419">
        <f>VLOOKUP('Average wages'!A24,Sheet2!A$2:B$41,2,FALSE)</f>
        <v>54920</v>
      </c>
    </row>
    <row r="25" spans="1:2" x14ac:dyDescent="0.2">
      <c r="A25" s="417" t="s">
        <v>80</v>
      </c>
      <c r="B25" s="419">
        <f>VLOOKUP('Average wages'!A25,Sheet2!A$2:B$41,2,FALSE)</f>
        <v>48360</v>
      </c>
    </row>
    <row r="26" spans="1:2" x14ac:dyDescent="0.2">
      <c r="A26" s="417" t="s">
        <v>262</v>
      </c>
      <c r="B26" s="420">
        <f>VLOOKUP('Average wages'!A26,Sheet2!A$2:B$41,2,FALSE)</f>
        <v>54733</v>
      </c>
    </row>
    <row r="27" spans="1:2" x14ac:dyDescent="0.2">
      <c r="A27" s="417" t="s">
        <v>81</v>
      </c>
      <c r="B27" s="429">
        <f>VLOOKUP('Average wages'!A27,Sheet2!A$2:B$41,2,FALSE)</f>
        <v>537881</v>
      </c>
    </row>
    <row r="28" spans="1:2" x14ac:dyDescent="0.2">
      <c r="A28" s="417" t="s">
        <v>334</v>
      </c>
      <c r="B28" s="430">
        <f>VLOOKUP('Average wages'!A28,Sheet2!A$2:B$41,2,FALSE)</f>
        <v>44513</v>
      </c>
    </row>
    <row r="29" spans="1:2" x14ac:dyDescent="0.2">
      <c r="A29" s="417" t="s">
        <v>83</v>
      </c>
      <c r="B29" s="419">
        <f>VLOOKUP('Average wages'!A29,Sheet2!A$2:B$41,2,FALSE)</f>
        <v>17342.52</v>
      </c>
    </row>
    <row r="30" spans="1:2" x14ac:dyDescent="0.2">
      <c r="A30" s="417" t="s">
        <v>84</v>
      </c>
      <c r="B30" s="419">
        <f>VLOOKUP('Average wages'!A30,Sheet2!A$2:B$41,2,FALSE)</f>
        <v>10422.36</v>
      </c>
    </row>
    <row r="31" spans="1:2" x14ac:dyDescent="0.2">
      <c r="A31" s="417" t="s">
        <v>85</v>
      </c>
      <c r="B31" s="419">
        <f>VLOOKUP('Average wages'!A31,Sheet2!A$2:B$41,2,FALSE)</f>
        <v>17948</v>
      </c>
    </row>
    <row r="32" spans="1:2" x14ac:dyDescent="0.2">
      <c r="A32" s="417" t="s">
        <v>86</v>
      </c>
      <c r="B32" s="419">
        <f>VLOOKUP('Average wages'!A32,Sheet2!A$2:B$41,2,FALSE)</f>
        <v>26190.78</v>
      </c>
    </row>
    <row r="33" spans="1:2" x14ac:dyDescent="0.2">
      <c r="A33" s="417" t="s">
        <v>87</v>
      </c>
      <c r="B33" s="429">
        <f>VLOOKUP('Average wages'!A33,Sheet2!A$2:B$41,2,FALSE)</f>
        <v>408188</v>
      </c>
    </row>
    <row r="34" spans="1:2" x14ac:dyDescent="0.2">
      <c r="A34" s="417" t="s">
        <v>88</v>
      </c>
      <c r="B34" s="431">
        <f>VLOOKUP('Average wages'!A34,Sheet2!A$2:B$41,2,FALSE)</f>
        <v>86820</v>
      </c>
    </row>
    <row r="35" spans="1:2" x14ac:dyDescent="0.2">
      <c r="A35" s="417" t="s">
        <v>89</v>
      </c>
      <c r="B35" s="432">
        <f>VLOOKUP('Average wages'!A35,Sheet2!A$2:B$41,2,FALSE)</f>
        <v>27487</v>
      </c>
    </row>
    <row r="36" spans="1:2" x14ac:dyDescent="0.2">
      <c r="A36" s="417" t="s">
        <v>90</v>
      </c>
      <c r="B36" s="433">
        <f>VLOOKUP('Average wages'!A36,Sheet2!A$2:B$41,2,FALSE)</f>
        <v>35120</v>
      </c>
    </row>
    <row r="37" spans="1:2" x14ac:dyDescent="0.2">
      <c r="A37" s="417" t="s">
        <v>448</v>
      </c>
      <c r="B37" s="420">
        <f>VLOOKUP('Average wages'!A37,Sheet2!A$2:B$41,2,FALSE)</f>
        <v>50098.95</v>
      </c>
    </row>
    <row r="38" spans="1:2" x14ac:dyDescent="0.2">
      <c r="A38" s="416" t="s">
        <v>92</v>
      </c>
      <c r="B38" s="434"/>
    </row>
    <row r="39" spans="1:2" x14ac:dyDescent="0.2">
      <c r="A39" s="428" t="s">
        <v>93</v>
      </c>
      <c r="B39" s="435">
        <f>VLOOKUP('Average wages'!A39,Sheet2!A$2:B$41,2,FALSE)</f>
        <v>10064</v>
      </c>
    </row>
    <row r="40" spans="1:2" x14ac:dyDescent="0.2">
      <c r="A40" s="428" t="s">
        <v>94</v>
      </c>
      <c r="B40" s="436">
        <f>VLOOKUP('Average wages'!A40,Sheet2!A$2:B$41,2,FALSE)</f>
        <v>85488</v>
      </c>
    </row>
    <row r="41" spans="1:2" x14ac:dyDescent="0.2">
      <c r="A41" s="428" t="s">
        <v>882</v>
      </c>
      <c r="B41" s="419">
        <f>VLOOKUP('Average wages'!A41,Sheet2!A$2:B$41,2,FALSE)</f>
        <v>22704</v>
      </c>
    </row>
    <row r="42" spans="1:2" x14ac:dyDescent="0.2">
      <c r="A42" s="428" t="s">
        <v>96</v>
      </c>
      <c r="B42" s="440">
        <f>VLOOKUP('Average wages'!A42,Sheet2!A$2:B$41,2,FALSE)</f>
        <v>28023.599999999999</v>
      </c>
    </row>
    <row r="43" spans="1:2" x14ac:dyDescent="0.2">
      <c r="A43" s="428" t="s">
        <v>277</v>
      </c>
      <c r="B43" s="419">
        <f>VLOOKUP('Average wages'!A43,Sheet2!A$2:B$41,2,FALSE)</f>
        <v>20500</v>
      </c>
    </row>
    <row r="44" spans="1:2" x14ac:dyDescent="0.2">
      <c r="A44" s="437" t="s">
        <v>97</v>
      </c>
      <c r="B44" s="438">
        <f>VLOOKUP('Average wages'!A44,Sheet2!A$2:B$41,2,FALSE)</f>
        <v>27648</v>
      </c>
    </row>
    <row r="46" spans="1:2" x14ac:dyDescent="0.2">
      <c r="A46" s="47" t="s">
        <v>98</v>
      </c>
    </row>
    <row r="47" spans="1:2" x14ac:dyDescent="0.2">
      <c r="A47" s="439" t="s">
        <v>879</v>
      </c>
    </row>
  </sheetData>
  <mergeCells count="2">
    <mergeCell ref="A1:B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README</vt:lpstr>
      <vt:lpstr>Unemployment Insurance</vt:lpstr>
      <vt:lpstr>Unemployment Assistance</vt:lpstr>
      <vt:lpstr>Social Assistance</vt:lpstr>
      <vt:lpstr>Housing Benefits</vt:lpstr>
      <vt:lpstr>Family provisions</vt:lpstr>
      <vt:lpstr>Employment-related provisions</vt:lpstr>
      <vt:lpstr>Tax treatment of benefits</vt:lpstr>
      <vt:lpstr>Average wages</vt:lpstr>
      <vt:lpstr>Sheet2</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BROWNE James</dc:creator>
  <cp:lastModifiedBy>BROWNE James</cp:lastModifiedBy>
  <dcterms:created xsi:type="dcterms:W3CDTF">2018-05-25T08:34:50Z</dcterms:created>
  <dcterms:modified xsi:type="dcterms:W3CDTF">2019-02-27T11:13:09Z</dcterms:modified>
</cp:coreProperties>
</file>